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ce\Teresa McKenzie\Transparency Stars\Debt Obligations\"/>
    </mc:Choice>
  </mc:AlternateContent>
  <xr:revisionPtr revIDLastSave="0" documentId="8_{4EC07629-C18B-431E-80AD-3E131C3865F1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Outstanding Debt Summary" sheetId="4" r:id="rId1"/>
    <sheet name="Debt by Fiscal Year" sheetId="1" r:id="rId2"/>
    <sheet name="Chart" sheetId="3" r:id="rId3"/>
    <sheet name="Data" sheetId="2" r:id="rId4"/>
  </sheets>
  <definedNames>
    <definedName name="_xlnm.Print_Area" localSheetId="1">'Debt by Fiscal Year'!$A$1:$L$87</definedName>
    <definedName name="_xlnm.Print_Titles" localSheetId="1">'Debt by Fiscal Year'!$1:$5</definedName>
  </definedNames>
  <calcPr calcId="191028"/>
</workbook>
</file>

<file path=xl/calcChain.xml><?xml version="1.0" encoding="utf-8"?>
<calcChain xmlns="http://schemas.openxmlformats.org/spreadsheetml/2006/main">
  <c r="C28" i="4" l="1"/>
  <c r="B28" i="4"/>
  <c r="L78" i="1"/>
  <c r="L86" i="1"/>
  <c r="L87" i="1"/>
  <c r="C25" i="4"/>
  <c r="C24" i="4"/>
  <c r="C22" i="4"/>
  <c r="C26" i="4" s="1"/>
  <c r="B22" i="4"/>
  <c r="B26" i="4" s="1"/>
  <c r="B25" i="4"/>
  <c r="B24" i="4"/>
  <c r="C18" i="4"/>
  <c r="C19" i="4" s="1"/>
  <c r="B18" i="4"/>
  <c r="B19" i="4" s="1"/>
  <c r="C13" i="4"/>
  <c r="C12" i="4"/>
  <c r="B13" i="4"/>
  <c r="B12" i="4"/>
  <c r="C8" i="4"/>
  <c r="C7" i="4"/>
  <c r="C6" i="4"/>
  <c r="B8" i="4"/>
  <c r="B7" i="4"/>
  <c r="B6" i="4"/>
  <c r="B14" i="4"/>
  <c r="D14" i="2"/>
  <c r="D13" i="2"/>
  <c r="D12" i="2"/>
  <c r="D11" i="2"/>
  <c r="D10" i="2"/>
  <c r="D6" i="2"/>
  <c r="D5" i="2"/>
  <c r="D4" i="2"/>
  <c r="D3" i="2"/>
  <c r="D2" i="2"/>
  <c r="D87" i="1"/>
  <c r="K87" i="1"/>
  <c r="I87" i="1"/>
  <c r="G87" i="1"/>
  <c r="E87" i="1"/>
  <c r="C87" i="1"/>
  <c r="K81" i="1"/>
  <c r="K82" i="1"/>
  <c r="K83" i="1"/>
  <c r="K48" i="1"/>
  <c r="K70" i="1"/>
  <c r="K72" i="1" s="1"/>
  <c r="L72" i="1" s="1"/>
  <c r="K66" i="1"/>
  <c r="K68" i="1" s="1"/>
  <c r="L68" i="1" s="1"/>
  <c r="K57" i="1"/>
  <c r="L57" i="1" s="1"/>
  <c r="K58" i="1"/>
  <c r="L58" i="1" s="1"/>
  <c r="K59" i="1"/>
  <c r="K60" i="1"/>
  <c r="K61" i="1"/>
  <c r="K63" i="1" s="1"/>
  <c r="K38" i="1"/>
  <c r="K39" i="1"/>
  <c r="K40" i="1"/>
  <c r="K49" i="1"/>
  <c r="K41" i="1"/>
  <c r="K42" i="1"/>
  <c r="K50" i="1"/>
  <c r="K43" i="1"/>
  <c r="K21" i="1"/>
  <c r="K12" i="1"/>
  <c r="K13" i="1"/>
  <c r="K22" i="1"/>
  <c r="K14" i="1"/>
  <c r="K23" i="1"/>
  <c r="K15" i="1"/>
  <c r="K16" i="1"/>
  <c r="K24" i="1"/>
  <c r="K17" i="1"/>
  <c r="K25" i="1"/>
  <c r="I48" i="1"/>
  <c r="G80" i="1"/>
  <c r="G81" i="1"/>
  <c r="G82" i="1"/>
  <c r="G83" i="1"/>
  <c r="G48" i="1"/>
  <c r="I63" i="1"/>
  <c r="G63" i="1"/>
  <c r="E63" i="1"/>
  <c r="C63" i="1"/>
  <c r="D63" i="1" s="1"/>
  <c r="D61" i="1"/>
  <c r="F61" i="1"/>
  <c r="H61" i="1"/>
  <c r="J61" i="1"/>
  <c r="E48" i="1"/>
  <c r="I19" i="1"/>
  <c r="G19" i="1"/>
  <c r="E19" i="1"/>
  <c r="C19" i="1"/>
  <c r="D8" i="1"/>
  <c r="F8" i="1"/>
  <c r="H8" i="1"/>
  <c r="J8" i="1"/>
  <c r="L8" i="1"/>
  <c r="C48" i="1"/>
  <c r="E72" i="1"/>
  <c r="F72" i="1" s="1"/>
  <c r="C72" i="1"/>
  <c r="D72" i="1" s="1"/>
  <c r="I72" i="1"/>
  <c r="J72" i="1" s="1"/>
  <c r="G72" i="1"/>
  <c r="H72" i="1" s="1"/>
  <c r="L70" i="1"/>
  <c r="J70" i="1"/>
  <c r="H70" i="1"/>
  <c r="F70" i="1"/>
  <c r="D70" i="1"/>
  <c r="I68" i="1"/>
  <c r="J68" i="1" s="1"/>
  <c r="G68" i="1"/>
  <c r="H68" i="1" s="1"/>
  <c r="E68" i="1"/>
  <c r="F68" i="1" s="1"/>
  <c r="C68" i="1"/>
  <c r="D68" i="1" s="1"/>
  <c r="J66" i="1"/>
  <c r="H66" i="1"/>
  <c r="F66" i="1"/>
  <c r="D66" i="1"/>
  <c r="L65" i="1"/>
  <c r="J65" i="1"/>
  <c r="H65" i="1"/>
  <c r="F65" i="1"/>
  <c r="D65" i="1"/>
  <c r="D58" i="1"/>
  <c r="F58" i="1"/>
  <c r="H58" i="1"/>
  <c r="J58" i="1"/>
  <c r="D57" i="1"/>
  <c r="F57" i="1"/>
  <c r="H57" i="1"/>
  <c r="J57" i="1"/>
  <c r="I45" i="1"/>
  <c r="G45" i="1"/>
  <c r="E45" i="1"/>
  <c r="C45" i="1"/>
  <c r="D36" i="1"/>
  <c r="F36" i="1"/>
  <c r="H36" i="1"/>
  <c r="J36" i="1"/>
  <c r="L36" i="1"/>
  <c r="D37" i="1"/>
  <c r="F37" i="1"/>
  <c r="H37" i="1"/>
  <c r="J37" i="1"/>
  <c r="L37" i="1"/>
  <c r="C14" i="4" l="1"/>
  <c r="C9" i="4"/>
  <c r="B9" i="4"/>
  <c r="L66" i="1"/>
  <c r="L61" i="1"/>
  <c r="K45" i="1"/>
  <c r="L45" i="1" s="1"/>
  <c r="K19" i="1"/>
  <c r="L19" i="1" s="1"/>
  <c r="K86" i="1"/>
  <c r="I86" i="1"/>
  <c r="J86" i="1" s="1"/>
  <c r="G86" i="1"/>
  <c r="H86" i="1" s="1"/>
  <c r="E86" i="1"/>
  <c r="F86" i="1" s="1"/>
  <c r="C86" i="1"/>
  <c r="D86" i="1" s="1"/>
  <c r="K78" i="1"/>
  <c r="I78" i="1"/>
  <c r="G78" i="1"/>
  <c r="E78" i="1"/>
  <c r="C78" i="1"/>
  <c r="H63" i="1"/>
  <c r="K53" i="1"/>
  <c r="I53" i="1"/>
  <c r="J53" i="1" s="1"/>
  <c r="G53" i="1"/>
  <c r="H53" i="1" s="1"/>
  <c r="E53" i="1"/>
  <c r="F53" i="1" s="1"/>
  <c r="C53" i="1"/>
  <c r="K33" i="1"/>
  <c r="I33" i="1"/>
  <c r="G33" i="1"/>
  <c r="E33" i="1"/>
  <c r="F33" i="1" s="1"/>
  <c r="C33" i="1"/>
  <c r="K29" i="1"/>
  <c r="I29" i="1"/>
  <c r="G29" i="1"/>
  <c r="E29" i="1"/>
  <c r="F29" i="1" s="1"/>
  <c r="C29" i="1"/>
  <c r="J19" i="1"/>
  <c r="H19" i="1"/>
  <c r="F19" i="1"/>
  <c r="H29" i="1"/>
  <c r="J45" i="1"/>
  <c r="H45" i="1"/>
  <c r="F45" i="1"/>
  <c r="J78" i="1"/>
  <c r="L84" i="1"/>
  <c r="L83" i="1"/>
  <c r="L82" i="1"/>
  <c r="L81" i="1"/>
  <c r="L80" i="1"/>
  <c r="L76" i="1"/>
  <c r="L75" i="1"/>
  <c r="L74" i="1"/>
  <c r="L60" i="1"/>
  <c r="L59" i="1"/>
  <c r="L56" i="1"/>
  <c r="L51" i="1"/>
  <c r="L50" i="1"/>
  <c r="L49" i="1"/>
  <c r="L48" i="1"/>
  <c r="L47" i="1"/>
  <c r="L43" i="1"/>
  <c r="L42" i="1"/>
  <c r="L41" i="1"/>
  <c r="L40" i="1"/>
  <c r="L39" i="1"/>
  <c r="L38" i="1"/>
  <c r="L31" i="1"/>
  <c r="L27" i="1"/>
  <c r="L26" i="1"/>
  <c r="L25" i="1"/>
  <c r="L24" i="1"/>
  <c r="L23" i="1"/>
  <c r="L22" i="1"/>
  <c r="L21" i="1"/>
  <c r="L10" i="1"/>
  <c r="L11" i="1"/>
  <c r="L12" i="1"/>
  <c r="L13" i="1"/>
  <c r="L14" i="1"/>
  <c r="L15" i="1"/>
  <c r="L16" i="1"/>
  <c r="L17" i="1"/>
  <c r="L9" i="1"/>
  <c r="J84" i="1"/>
  <c r="J83" i="1"/>
  <c r="J82" i="1"/>
  <c r="J81" i="1"/>
  <c r="J80" i="1"/>
  <c r="J76" i="1"/>
  <c r="J75" i="1"/>
  <c r="J74" i="1"/>
  <c r="J60" i="1"/>
  <c r="J59" i="1"/>
  <c r="J56" i="1"/>
  <c r="J51" i="1"/>
  <c r="J50" i="1"/>
  <c r="J49" i="1"/>
  <c r="J48" i="1"/>
  <c r="J47" i="1"/>
  <c r="J43" i="1"/>
  <c r="J42" i="1"/>
  <c r="J41" i="1"/>
  <c r="J40" i="1"/>
  <c r="J39" i="1"/>
  <c r="J38" i="1"/>
  <c r="J31" i="1"/>
  <c r="J27" i="1"/>
  <c r="J26" i="1"/>
  <c r="J25" i="1"/>
  <c r="J24" i="1"/>
  <c r="J23" i="1"/>
  <c r="J22" i="1"/>
  <c r="J21" i="1"/>
  <c r="J10" i="1"/>
  <c r="J11" i="1"/>
  <c r="J12" i="1"/>
  <c r="J13" i="1"/>
  <c r="J14" i="1"/>
  <c r="J15" i="1"/>
  <c r="J16" i="1"/>
  <c r="J17" i="1"/>
  <c r="H84" i="1"/>
  <c r="H83" i="1"/>
  <c r="H82" i="1"/>
  <c r="H81" i="1"/>
  <c r="H80" i="1"/>
  <c r="H76" i="1"/>
  <c r="H75" i="1"/>
  <c r="H74" i="1"/>
  <c r="H60" i="1"/>
  <c r="H59" i="1"/>
  <c r="H56" i="1"/>
  <c r="H51" i="1"/>
  <c r="H50" i="1"/>
  <c r="H49" i="1"/>
  <c r="H48" i="1"/>
  <c r="H47" i="1"/>
  <c r="H43" i="1"/>
  <c r="H42" i="1"/>
  <c r="H41" i="1"/>
  <c r="H40" i="1"/>
  <c r="H39" i="1"/>
  <c r="H38" i="1"/>
  <c r="H31" i="1"/>
  <c r="H27" i="1"/>
  <c r="H26" i="1"/>
  <c r="H25" i="1"/>
  <c r="H24" i="1"/>
  <c r="H23" i="1"/>
  <c r="H22" i="1"/>
  <c r="H21" i="1"/>
  <c r="H10" i="1"/>
  <c r="H11" i="1"/>
  <c r="H12" i="1"/>
  <c r="H13" i="1"/>
  <c r="H14" i="1"/>
  <c r="H15" i="1"/>
  <c r="H16" i="1"/>
  <c r="H17" i="1"/>
  <c r="H9" i="1"/>
  <c r="F84" i="1"/>
  <c r="F83" i="1"/>
  <c r="F82" i="1"/>
  <c r="F81" i="1"/>
  <c r="F80" i="1"/>
  <c r="F76" i="1"/>
  <c r="F75" i="1"/>
  <c r="F74" i="1"/>
  <c r="F60" i="1"/>
  <c r="F59" i="1"/>
  <c r="F56" i="1"/>
  <c r="F51" i="1"/>
  <c r="F50" i="1"/>
  <c r="F49" i="1"/>
  <c r="F48" i="1"/>
  <c r="F47" i="1"/>
  <c r="F43" i="1"/>
  <c r="F42" i="1"/>
  <c r="F41" i="1"/>
  <c r="F40" i="1"/>
  <c r="F39" i="1"/>
  <c r="F38" i="1"/>
  <c r="F31" i="1"/>
  <c r="F27" i="1"/>
  <c r="F26" i="1"/>
  <c r="F25" i="1"/>
  <c r="F24" i="1"/>
  <c r="F23" i="1"/>
  <c r="F22" i="1"/>
  <c r="F21" i="1"/>
  <c r="F10" i="1"/>
  <c r="F11" i="1"/>
  <c r="F12" i="1"/>
  <c r="F13" i="1"/>
  <c r="F14" i="1"/>
  <c r="F15" i="1"/>
  <c r="F16" i="1"/>
  <c r="F17" i="1"/>
  <c r="D17" i="1"/>
  <c r="D50" i="1"/>
  <c r="D51" i="1"/>
  <c r="F9" i="1"/>
  <c r="J9" i="1"/>
  <c r="D16" i="1"/>
  <c r="D25" i="1"/>
  <c r="D26" i="1"/>
  <c r="D27" i="1"/>
  <c r="D38" i="1"/>
  <c r="D41" i="1"/>
  <c r="D42" i="1"/>
  <c r="D43" i="1"/>
  <c r="C6" i="2" l="1"/>
  <c r="I6" i="2" s="1"/>
  <c r="C5" i="2"/>
  <c r="I5" i="2" s="1"/>
  <c r="J87" i="1"/>
  <c r="C13" i="2"/>
  <c r="I13" i="2" s="1"/>
  <c r="F87" i="1"/>
  <c r="B11" i="2"/>
  <c r="H11" i="2" s="1"/>
  <c r="D19" i="1"/>
  <c r="C12" i="2"/>
  <c r="I12" i="2" s="1"/>
  <c r="C11" i="2"/>
  <c r="I11" i="2" s="1"/>
  <c r="D45" i="1"/>
  <c r="F78" i="1"/>
  <c r="J6" i="2"/>
  <c r="J63" i="1"/>
  <c r="J13" i="2" s="1"/>
  <c r="F63" i="1"/>
  <c r="C3" i="2"/>
  <c r="I3" i="2" s="1"/>
  <c r="L33" i="1"/>
  <c r="J33" i="1"/>
  <c r="J29" i="1"/>
  <c r="B5" i="2"/>
  <c r="H5" i="2" s="1"/>
  <c r="D29" i="1"/>
  <c r="L29" i="1"/>
  <c r="B14" i="2" s="1"/>
  <c r="H14" i="2" s="1"/>
  <c r="D33" i="1"/>
  <c r="H33" i="1"/>
  <c r="B12" i="2" s="1"/>
  <c r="B6" i="2"/>
  <c r="H6" i="2" s="1"/>
  <c r="B3" i="2"/>
  <c r="H3" i="2" s="1"/>
  <c r="C2" i="2"/>
  <c r="I2" i="2" s="1"/>
  <c r="D53" i="1"/>
  <c r="L53" i="1"/>
  <c r="C14" i="2" s="1"/>
  <c r="I14" i="2" s="1"/>
  <c r="C4" i="2"/>
  <c r="I4" i="2" s="1"/>
  <c r="D78" i="1"/>
  <c r="J10" i="2" s="1"/>
  <c r="L63" i="1"/>
  <c r="J14" i="2" s="1"/>
  <c r="J3" i="2"/>
  <c r="J2" i="2"/>
  <c r="H78" i="1"/>
  <c r="J12" i="2" s="1"/>
  <c r="D39" i="1"/>
  <c r="D40" i="1"/>
  <c r="D76" i="1"/>
  <c r="D75" i="1"/>
  <c r="D74" i="1"/>
  <c r="D80" i="1"/>
  <c r="D60" i="1"/>
  <c r="D59" i="1"/>
  <c r="D56" i="1"/>
  <c r="D48" i="1"/>
  <c r="D49" i="1"/>
  <c r="D47" i="1"/>
  <c r="D31" i="1"/>
  <c r="D21" i="1"/>
  <c r="D22" i="1"/>
  <c r="D23" i="1"/>
  <c r="D24" i="1"/>
  <c r="D12" i="1"/>
  <c r="D13" i="1"/>
  <c r="D9" i="1"/>
  <c r="D10" i="1"/>
  <c r="B13" i="2" l="1"/>
  <c r="H13" i="2" s="1"/>
  <c r="B10" i="2"/>
  <c r="H10" i="2" s="1"/>
  <c r="H12" i="2"/>
  <c r="E12" i="2"/>
  <c r="J11" i="2"/>
  <c r="E13" i="2"/>
  <c r="E14" i="2"/>
  <c r="E5" i="2"/>
  <c r="J5" i="2"/>
  <c r="C10" i="2"/>
  <c r="E6" i="2"/>
  <c r="H87" i="1"/>
  <c r="J4" i="2"/>
  <c r="B2" i="2"/>
  <c r="H2" i="2" s="1"/>
  <c r="B4" i="2"/>
  <c r="H4" i="2" s="1"/>
  <c r="E3" i="2"/>
  <c r="E11" i="2" l="1"/>
  <c r="I10" i="2"/>
  <c r="E10" i="2"/>
  <c r="E4" i="2"/>
  <c r="D82" i="1"/>
  <c r="D83" i="1"/>
  <c r="D84" i="1"/>
  <c r="D81" i="1" l="1"/>
  <c r="D15" i="1"/>
  <c r="D14" i="1"/>
  <c r="D11" i="1"/>
  <c r="E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Teresa.McKenzie</author>
  </authors>
  <commentList>
    <comment ref="C48" authorId="0" shapeId="0" xr:uid="{31328CF4-27A2-4548-8223-F320856062A2}">
      <text>
        <r>
          <rPr>
            <b/>
            <sz val="9"/>
            <color indexed="81"/>
            <rFont val="Tahoma"/>
            <charset val="1"/>
          </rPr>
          <t>Teresa.McKenzie:</t>
        </r>
        <r>
          <rPr>
            <sz val="9"/>
            <color indexed="81"/>
            <rFont val="Tahoma"/>
            <charset val="1"/>
          </rPr>
          <t xml:space="preserve">
Includes Aquatics
</t>
        </r>
      </text>
    </comment>
  </commentList>
</comments>
</file>

<file path=xl/sharedStrings.xml><?xml version="1.0" encoding="utf-8"?>
<sst xmlns="http://schemas.openxmlformats.org/spreadsheetml/2006/main" count="135" uniqueCount="75">
  <si>
    <t>Population:</t>
  </si>
  <si>
    <t>Principal</t>
  </si>
  <si>
    <t>Per Capita</t>
  </si>
  <si>
    <t>Refunding Bonds, Series 2013</t>
  </si>
  <si>
    <t>Refunding Bonds, Series 2015</t>
  </si>
  <si>
    <t>Refunding Bonds, Series 2016</t>
  </si>
  <si>
    <t>Tax and Revenue, Series 2015</t>
  </si>
  <si>
    <t>Tax and Revenue, Series 2016</t>
  </si>
  <si>
    <t>Tax and Revenue, Series 2017</t>
  </si>
  <si>
    <t>Tax and Revenue, Series 2018</t>
  </si>
  <si>
    <t>Refunding Bonds, Series 2012</t>
  </si>
  <si>
    <t>Contract Revenue Bonds</t>
  </si>
  <si>
    <t>Total Contract Revenue Bonds</t>
  </si>
  <si>
    <t>TOTAL OUTSTANDING DEBT</t>
  </si>
  <si>
    <t>Year</t>
  </si>
  <si>
    <t>Tax Supported</t>
  </si>
  <si>
    <t>Tax and Revenue, Series 2024</t>
  </si>
  <si>
    <t>General Obligation Bonds (GO)</t>
  </si>
  <si>
    <t>Certificates of Obligation (CO)</t>
  </si>
  <si>
    <t>Total General Obligation Bonds (GO)</t>
  </si>
  <si>
    <t>Total Certificates of Obligation (CO)</t>
  </si>
  <si>
    <t>BAWA Water Supply Contract Revenue Bonds, Series 2012</t>
  </si>
  <si>
    <t>BAWA Water Supply Contract Revenue Bonds, Series 2018</t>
  </si>
  <si>
    <t>BAWA Water Supply Contract Revenue Bonds, Series 2019</t>
  </si>
  <si>
    <t>BAWA Water Supply Contract Revenue Bonds, Series 2024</t>
  </si>
  <si>
    <t>Refunding Bonds, Series 2014</t>
  </si>
  <si>
    <t>Refunding Bonds, Series 2019</t>
  </si>
  <si>
    <t>Refunding Bonds, Series 2020</t>
  </si>
  <si>
    <t>Refunding Bonds, Series 2019A</t>
  </si>
  <si>
    <t>Refunding Bonds, Series 2021A</t>
  </si>
  <si>
    <t>Tax and Revenue, Series 2019</t>
  </si>
  <si>
    <t>Tax and Revenue, Series 2020</t>
  </si>
  <si>
    <t>Tax and Revenue, Series 2022</t>
  </si>
  <si>
    <t>Tax and Revenue, Series 2019A</t>
  </si>
  <si>
    <t>Tax and Revenue, Series 2025</t>
  </si>
  <si>
    <t>Capital Leases</t>
  </si>
  <si>
    <t>Total Leases</t>
  </si>
  <si>
    <t>Tax and Revenue, Series 2013</t>
  </si>
  <si>
    <t>Tax and Revenue, Series 2014</t>
  </si>
  <si>
    <t>BAWA Water Supply Contract Revenue Bonds, Series 2006</t>
  </si>
  <si>
    <t>MDD 1st Lien Bonds, Series 2021A</t>
  </si>
  <si>
    <t>MDD 2nd Lien Bonds, Series 2021A</t>
  </si>
  <si>
    <t>MDD 3rd Lien Bonds, Series 2021A</t>
  </si>
  <si>
    <t>Hotel Lien Bonds</t>
  </si>
  <si>
    <t>FY2020 - 2024</t>
  </si>
  <si>
    <t xml:space="preserve">OUTSTANDING DEBT </t>
  </si>
  <si>
    <t xml:space="preserve">REVENUE-SUPPORTED </t>
  </si>
  <si>
    <t xml:space="preserve">TAX-SUPPORTED </t>
  </si>
  <si>
    <t xml:space="preserve">COMPONENT UNIT </t>
  </si>
  <si>
    <t>Total Sales Tax Revenue Bonds</t>
  </si>
  <si>
    <t>Component Unit</t>
  </si>
  <si>
    <t xml:space="preserve">Revenue Supported </t>
  </si>
  <si>
    <t>Total Debt</t>
  </si>
  <si>
    <t>Total Per Capita</t>
  </si>
  <si>
    <t>Sales Tax Supported Bonds</t>
  </si>
  <si>
    <t>Refunding Bonds, Series 2011</t>
  </si>
  <si>
    <t>TIRZ Contract Revenue Bonds, Series 2008</t>
  </si>
  <si>
    <t>Tax Increment Reinvestment Zone Bonds (TIRZ)</t>
  </si>
  <si>
    <t>Fire Control, Prevention, and Emergency Medical Services District (FCPEMSD)</t>
  </si>
  <si>
    <t>Total TIRZ Bonds</t>
  </si>
  <si>
    <t>Total FCPEMSD Bonds</t>
  </si>
  <si>
    <t>FY24 OUTSTANDING DEBT</t>
  </si>
  <si>
    <t>BOND TYPE</t>
  </si>
  <si>
    <t>PRINCIPAL</t>
  </si>
  <si>
    <t>PER CAPITA</t>
  </si>
  <si>
    <t>TAX-SUPPORTED</t>
  </si>
  <si>
    <t xml:space="preserve">Certificate of Obligation </t>
  </si>
  <si>
    <t>General Obligation Refunding Bonds</t>
  </si>
  <si>
    <t>REVENUE-SUPPORTED</t>
  </si>
  <si>
    <t>SALES TAX-SUPPORTED</t>
  </si>
  <si>
    <t xml:space="preserve">                                  -   </t>
  </si>
  <si>
    <t>-</t>
  </si>
  <si>
    <t>COMPONENT UNIT-SUPPORTED</t>
  </si>
  <si>
    <t>SubTotal</t>
  </si>
  <si>
    <t>Capital Lease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</si>
</sst>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_);_(&quot;$&quot;* \(#,##0.0\);_(&quot;$&quot;* &quot;-&quot;_);_(@_)"/>
    <numFmt numFmtId="166" formatCode="_(&quot;$&quot;* #,##0_);_(&quot;$&quot;* \(#,##0\);_(&quot;$&quot;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sz val="12"/>
      <name val="CG Times"/>
      <family val="1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rgb="FFFF0000"/>
      <name val="Lato"/>
      <family val="2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DB913"/>
      <name val="Calibri"/>
      <family val="2"/>
      <scheme val="minor"/>
    </font>
    <font>
      <b/>
      <sz val="16"/>
      <color rgb="FFFDB913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 Light"/>
      <family val="2"/>
    </font>
    <font>
      <b/>
      <sz val="12"/>
      <color rgb="FFFFFFFF"/>
      <name val="Calibri Light"/>
      <family val="2"/>
    </font>
    <font>
      <sz val="12"/>
      <color theme="1"/>
      <name val="Calibri Light"/>
      <family val="2"/>
    </font>
    <font>
      <sz val="10"/>
      <color theme="1"/>
      <name val="Calibri Light"/>
      <family val="2"/>
    </font>
    <font>
      <b/>
      <sz val="14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00437B"/>
        <bgColor indexed="64"/>
      </patternFill>
    </fill>
    <fill>
      <patternFill patternType="solid">
        <fgColor rgb="FF3DAF8D"/>
        <bgColor indexed="64"/>
      </patternFill>
    </fill>
    <fill>
      <patternFill patternType="solid">
        <fgColor rgb="FFFDB913"/>
        <bgColor indexed="64"/>
      </patternFill>
    </fill>
    <fill>
      <patternFill patternType="solid">
        <fgColor rgb="FF569BB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0" fillId="0" borderId="7" xfId="0" applyBorder="1" applyAlignment="1">
      <alignment vertical="center" wrapText="1"/>
    </xf>
    <xf numFmtId="42" fontId="1" fillId="0" borderId="7" xfId="0" applyNumberFormat="1" applyFont="1" applyBorder="1" applyAlignment="1">
      <alignment vertical="center"/>
    </xf>
    <xf numFmtId="42" fontId="1" fillId="0" borderId="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42" fontId="1" fillId="0" borderId="3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2" fontId="0" fillId="0" borderId="0" xfId="0" applyNumberFormat="1"/>
    <xf numFmtId="0" fontId="6" fillId="3" borderId="6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42" fontId="1" fillId="0" borderId="7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42" fontId="7" fillId="3" borderId="2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42" fontId="11" fillId="2" borderId="12" xfId="0" applyNumberFormat="1" applyFont="1" applyFill="1" applyBorder="1"/>
    <xf numFmtId="0" fontId="6" fillId="2" borderId="12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6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 wrapText="1"/>
    </xf>
    <xf numFmtId="164" fontId="10" fillId="0" borderId="0" xfId="1" applyNumberFormat="1" applyFont="1" applyFill="1" applyBorder="1" applyAlignment="1">
      <alignment vertical="center"/>
    </xf>
    <xf numFmtId="164" fontId="14" fillId="0" borderId="0" xfId="1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6" fillId="0" borderId="1" xfId="1" applyNumberFormat="1" applyFont="1" applyFill="1" applyBorder="1" applyAlignment="1">
      <alignment horizontal="center" vertical="center"/>
    </xf>
    <xf numFmtId="3" fontId="16" fillId="0" borderId="4" xfId="1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42" fontId="7" fillId="4" borderId="6" xfId="0" applyNumberFormat="1" applyFont="1" applyFill="1" applyBorder="1" applyAlignment="1">
      <alignment vertical="center"/>
    </xf>
    <xf numFmtId="0" fontId="17" fillId="0" borderId="0" xfId="0" applyFont="1"/>
    <xf numFmtId="0" fontId="0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42" fontId="1" fillId="0" borderId="8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1" fillId="2" borderId="0" xfId="0" applyFont="1" applyFill="1" applyAlignment="1">
      <alignment vertical="center" wrapText="1"/>
    </xf>
    <xf numFmtId="0" fontId="20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right" vertical="center"/>
    </xf>
    <xf numFmtId="166" fontId="22" fillId="0" borderId="16" xfId="0" applyNumberFormat="1" applyFont="1" applyBorder="1" applyAlignment="1">
      <alignment horizontal="right" vertical="center"/>
    </xf>
    <xf numFmtId="166" fontId="20" fillId="0" borderId="17" xfId="0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 vertical="center" wrapText="1"/>
    </xf>
    <xf numFmtId="164" fontId="22" fillId="0" borderId="16" xfId="1" applyNumberFormat="1" applyFont="1" applyBorder="1" applyAlignment="1">
      <alignment horizontal="right" vertical="center" wrapText="1"/>
    </xf>
    <xf numFmtId="164" fontId="21" fillId="3" borderId="0" xfId="1" applyNumberFormat="1" applyFont="1" applyFill="1" applyAlignment="1">
      <alignment vertical="center" wrapText="1"/>
    </xf>
    <xf numFmtId="164" fontId="20" fillId="4" borderId="0" xfId="1" applyNumberFormat="1" applyFont="1" applyFill="1" applyAlignment="1">
      <alignment vertical="center" wrapText="1"/>
    </xf>
    <xf numFmtId="164" fontId="20" fillId="5" borderId="0" xfId="1" applyNumberFormat="1" applyFont="1" applyFill="1" applyAlignment="1">
      <alignment vertical="center" wrapText="1"/>
    </xf>
    <xf numFmtId="164" fontId="20" fillId="0" borderId="19" xfId="1" applyNumberFormat="1" applyFont="1" applyBorder="1" applyAlignment="1">
      <alignment horizontal="right" vertical="center" wrapText="1"/>
    </xf>
    <xf numFmtId="0" fontId="23" fillId="0" borderId="18" xfId="0" applyFont="1" applyBorder="1" applyAlignment="1">
      <alignment horizontal="right" vertical="center" wrapText="1"/>
    </xf>
    <xf numFmtId="166" fontId="22" fillId="0" borderId="0" xfId="0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24" fillId="0" borderId="0" xfId="0" applyFont="1" applyAlignment="1">
      <alignment horizontal="center" vertical="center"/>
    </xf>
    <xf numFmtId="164" fontId="10" fillId="2" borderId="15" xfId="1" applyNumberFormat="1" applyFont="1" applyFill="1" applyBorder="1" applyAlignment="1">
      <alignment horizontal="center" vertical="center"/>
    </xf>
    <xf numFmtId="164" fontId="10" fillId="2" borderId="16" xfId="1" applyNumberFormat="1" applyFont="1" applyFill="1" applyBorder="1" applyAlignment="1">
      <alignment horizontal="center" vertical="center"/>
    </xf>
    <xf numFmtId="164" fontId="10" fillId="2" borderId="13" xfId="1" applyNumberFormat="1" applyFont="1" applyFill="1" applyBorder="1" applyAlignment="1">
      <alignment horizontal="center" vertical="center"/>
    </xf>
    <xf numFmtId="164" fontId="10" fillId="2" borderId="9" xfId="1" applyNumberFormat="1" applyFont="1" applyFill="1" applyBorder="1" applyAlignment="1">
      <alignment horizontal="center" vertical="center"/>
    </xf>
    <xf numFmtId="164" fontId="10" fillId="2" borderId="0" xfId="1" applyNumberFormat="1" applyFont="1" applyFill="1" applyBorder="1" applyAlignment="1">
      <alignment horizontal="center" vertical="center"/>
    </xf>
    <xf numFmtId="164" fontId="10" fillId="2" borderId="14" xfId="1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5" fillId="4" borderId="5" xfId="1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2" xr:uid="{00000000-0005-0000-0000-000001000000}"/>
    <cellStyle name="Currency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colors>
    <mruColors>
      <color rgb="FFF57F29"/>
      <color rgb="FF569BB4"/>
      <color rgb="FFFDB913"/>
      <color rgb="FF3DAF8D"/>
      <color rgb="FF00437B"/>
      <color rgb="FFC7C9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Obligations </a:t>
            </a:r>
          </a:p>
          <a:p>
            <a:pPr>
              <a:defRPr/>
            </a:pPr>
            <a:r>
              <a:rPr lang="en-US" sz="900" i="1"/>
              <a:t>In millions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Data!$H$1</c:f>
              <c:strCache>
                <c:ptCount val="1"/>
                <c:pt idx="0">
                  <c:v>Tax Supported</c:v>
                </c:pt>
              </c:strCache>
            </c:strRef>
          </c:tx>
          <c:spPr>
            <a:solidFill>
              <a:srgbClr val="00437B"/>
            </a:solidFill>
            <a:ln>
              <a:solidFill>
                <a:srgbClr val="00437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Data!$G$2:$G$6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Data!$H$2:$H$6</c:f>
              <c:numCache>
                <c:formatCode>_("$"* #,##0.0_);_("$"* \(#,##0.0\);_("$"* "-"_);_(@_)</c:formatCode>
                <c:ptCount val="5"/>
                <c:pt idx="0">
                  <c:v>95.032150000000001</c:v>
                </c:pt>
                <c:pt idx="1">
                  <c:v>114.935654</c:v>
                </c:pt>
                <c:pt idx="2">
                  <c:v>101.156503</c:v>
                </c:pt>
                <c:pt idx="3">
                  <c:v>115.546131</c:v>
                </c:pt>
                <c:pt idx="4">
                  <c:v>125.30653599999999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F-44DF-82E0-8FF83297FE7A}"/>
            </c:ext>
          </c:extLst>
        </c:ser>
        <c:ser>
          <c:idx val="2"/>
          <c:order val="2"/>
          <c:tx>
            <c:strRef>
              <c:f>Data!$I$1</c:f>
              <c:strCache>
                <c:ptCount val="1"/>
                <c:pt idx="0">
                  <c:v>Revenue Supported </c:v>
                </c:pt>
              </c:strCache>
            </c:strRef>
          </c:tx>
          <c:spPr>
            <a:solidFill>
              <a:srgbClr val="FDB913"/>
            </a:solidFill>
            <a:ln>
              <a:solidFill>
                <a:srgbClr val="FDB91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Data!$G$2:$G$6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Data!$I$2:$I$6</c:f>
              <c:numCache>
                <c:formatCode>_("$"* #,##0.0_);_("$"* \(#,##0.0\);_("$"* "-"_);_(@_)</c:formatCode>
                <c:ptCount val="5"/>
                <c:pt idx="0">
                  <c:v>75.466852000000003</c:v>
                </c:pt>
                <c:pt idx="1">
                  <c:v>75.762930999999995</c:v>
                </c:pt>
                <c:pt idx="2">
                  <c:v>68.935331000000005</c:v>
                </c:pt>
                <c:pt idx="3">
                  <c:v>62.762236000000001</c:v>
                </c:pt>
                <c:pt idx="4">
                  <c:v>92.400729999999996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F-44DF-82E0-8FF83297FE7A}"/>
            </c:ext>
          </c:extLst>
        </c:ser>
        <c:ser>
          <c:idx val="3"/>
          <c:order val="3"/>
          <c:tx>
            <c:strRef>
              <c:f>Data!$J$1</c:f>
              <c:strCache>
                <c:ptCount val="1"/>
                <c:pt idx="0">
                  <c:v>Component Unit</c:v>
                </c:pt>
              </c:strCache>
            </c:strRef>
          </c:tx>
          <c:spPr>
            <a:solidFill>
              <a:srgbClr val="3DAF8D"/>
            </a:solidFill>
            <a:ln>
              <a:solidFill>
                <a:srgbClr val="3DAF8D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Data!$G$2:$G$6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Data!$J$2:$J$6</c:f>
              <c:numCache>
                <c:formatCode>_("$"* #,##0.0_);_("$"* \(#,##0.0\);_("$"* "-"_);_(@_)</c:formatCode>
                <c:ptCount val="5"/>
                <c:pt idx="0">
                  <c:v>83.572455000000005</c:v>
                </c:pt>
                <c:pt idx="1">
                  <c:v>140.27062599999999</c:v>
                </c:pt>
                <c:pt idx="2">
                  <c:v>135.37084999999999</c:v>
                </c:pt>
                <c:pt idx="3">
                  <c:v>130.91396399999999</c:v>
                </c:pt>
                <c:pt idx="4">
                  <c:v>147.77394100000001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F-44DF-82E0-8FF83297FE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3982720"/>
        <c:axId val="5739925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Data!$G$1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Data!$G$2:$G$6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Data!$G$2:$G$6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BAF-44DF-82E0-8FF83297FE7A}"/>
                  </c:ext>
                </c:extLst>
              </c15:ser>
            </c15:filteredBarSeries>
          </c:ext>
        </c:extLst>
      </c:barChart>
      <c:catAx>
        <c:axId val="57398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992560"/>
        <c:crosses val="autoZero"/>
        <c:auto val="1"/>
        <c:lblAlgn val="ctr"/>
        <c:lblOffset val="100"/>
        <c:noMultiLvlLbl val="0"/>
      </c:catAx>
      <c:valAx>
        <c:axId val="573992560"/>
        <c:scaling>
          <c:orientation val="minMax"/>
        </c:scaling>
        <c:delete val="1"/>
        <c:axPos val="l"/>
        <c:numFmt formatCode="_(&quot;$&quot;* #,##0.0_);_(&quot;$&quot;* \(#,##0.0\);_(&quot;$&quot;* &quot;-&quot;?_);_(@_)" sourceLinked="0"/>
        <c:majorTickMark val="none"/>
        <c:minorTickMark val="none"/>
        <c:tickLblPos val="nextTo"/>
        <c:crossAx val="5739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Debt Obligations </a:t>
            </a:r>
            <a:endParaRPr lang="en-US" sz="1600">
              <a:effectLst/>
            </a:endParaRPr>
          </a:p>
          <a:p>
            <a:pPr>
              <a:defRPr/>
            </a:pPr>
            <a:r>
              <a:rPr lang="en-US" sz="900" b="1" i="1" cap="all" baseline="0">
                <a:effectLst/>
              </a:rPr>
              <a:t>peR capita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Data!$H$9</c:f>
              <c:strCache>
                <c:ptCount val="1"/>
                <c:pt idx="0">
                  <c:v>Tax Supported</c:v>
                </c:pt>
              </c:strCache>
            </c:strRef>
          </c:tx>
          <c:spPr>
            <a:solidFill>
              <a:srgbClr val="00437B"/>
            </a:solidFill>
            <a:ln>
              <a:solidFill>
                <a:srgbClr val="00437B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437B"/>
              </a:solidFill>
              <a:ln>
                <a:solidFill>
                  <a:srgbClr val="00437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35-4CC1-9BA0-D553CA41CB03}"/>
              </c:ext>
            </c:extLst>
          </c:dPt>
          <c:cat>
            <c:numRef>
              <c:f>Data!$G$10:$G$14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Data!$H$10:$H$14</c:f>
              <c:numCache>
                <c:formatCode>_("$"* #,##0_);_("$"* \(#,##0\);_("$"* "-"_);_(@_)</c:formatCode>
                <c:ptCount val="5"/>
                <c:pt idx="0">
                  <c:v>1022.0269078551148</c:v>
                </c:pt>
                <c:pt idx="1">
                  <c:v>1221.667010342152</c:v>
                </c:pt>
                <c:pt idx="2">
                  <c:v>1199.6169892320099</c:v>
                </c:pt>
                <c:pt idx="3">
                  <c:v>1377.1558604085719</c:v>
                </c:pt>
                <c:pt idx="4">
                  <c:v>1472.7564378312941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35-4CC1-9BA0-D553CA41CB03}"/>
            </c:ext>
          </c:extLst>
        </c:ser>
        <c:ser>
          <c:idx val="2"/>
          <c:order val="2"/>
          <c:tx>
            <c:strRef>
              <c:f>Data!$I$9</c:f>
              <c:strCache>
                <c:ptCount val="1"/>
                <c:pt idx="0">
                  <c:v>Revenue Supported </c:v>
                </c:pt>
              </c:strCache>
            </c:strRef>
          </c:tx>
          <c:spPr>
            <a:solidFill>
              <a:srgbClr val="FDB913"/>
            </a:solidFill>
            <a:ln>
              <a:solidFill>
                <a:srgbClr val="FDB913"/>
              </a:solidFill>
            </a:ln>
            <a:effectLst/>
          </c:spPr>
          <c:invertIfNegative val="0"/>
          <c:cat>
            <c:numRef>
              <c:f>Data!$G$10:$G$14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Data!$I$10:$I$14</c:f>
              <c:numCache>
                <c:formatCode>_("$"* #,##0_);_("$"* \(#,##0\);_("$"* "-"_);_(@_)</c:formatCode>
                <c:ptCount val="5"/>
                <c:pt idx="0">
                  <c:v>811.61115890905967</c:v>
                </c:pt>
                <c:pt idx="1">
                  <c:v>805.29470350017539</c:v>
                </c:pt>
                <c:pt idx="2">
                  <c:v>817.50546700820644</c:v>
                </c:pt>
                <c:pt idx="3">
                  <c:v>748.04219208123766</c:v>
                </c:pt>
                <c:pt idx="4">
                  <c:v>1086.0069579116862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35-4CC1-9BA0-D553CA41CB03}"/>
            </c:ext>
          </c:extLst>
        </c:ser>
        <c:ser>
          <c:idx val="3"/>
          <c:order val="3"/>
          <c:tx>
            <c:strRef>
              <c:f>Data!$J$9</c:f>
              <c:strCache>
                <c:ptCount val="1"/>
                <c:pt idx="0">
                  <c:v>Component Unit</c:v>
                </c:pt>
              </c:strCache>
            </c:strRef>
          </c:tx>
          <c:spPr>
            <a:solidFill>
              <a:srgbClr val="3DAF8D"/>
            </a:solidFill>
            <a:ln>
              <a:solidFill>
                <a:srgbClr val="3DAF8D"/>
              </a:solidFill>
            </a:ln>
            <a:effectLst/>
          </c:spPr>
          <c:invertIfNegative val="0"/>
          <c:cat>
            <c:numRef>
              <c:f>Data!$G$10:$G$14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Data!$J$10:$J$14</c:f>
              <c:numCache>
                <c:formatCode>_("$"* #,##0_);_("$"* \(#,##0\);_("$"* "-"_);_(@_)</c:formatCode>
                <c:ptCount val="5"/>
                <c:pt idx="0">
                  <c:v>898.78317775101095</c:v>
                </c:pt>
                <c:pt idx="1">
                  <c:v>1490.9559422200018</c:v>
                </c:pt>
                <c:pt idx="2">
                  <c:v>1605.3656135856932</c:v>
                </c:pt>
                <c:pt idx="3">
                  <c:v>1560.3199446973852</c:v>
                </c:pt>
                <c:pt idx="4">
                  <c:v>1736.8209983192883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35-4CC1-9BA0-D553CA41C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4218016"/>
        <c:axId val="8042193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Data!$G$9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Data!$G$10:$G$14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Data!$G$10:$G$14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B35-4CC1-9BA0-D553CA41CB03}"/>
                  </c:ext>
                </c:extLst>
              </c15:ser>
            </c15:filteredBarSeries>
          </c:ext>
        </c:extLst>
      </c:barChart>
      <c:catAx>
        <c:axId val="80421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219328"/>
        <c:crosses val="autoZero"/>
        <c:auto val="1"/>
        <c:lblAlgn val="ctr"/>
        <c:lblOffset val="100"/>
        <c:noMultiLvlLbl val="0"/>
      </c:catAx>
      <c:valAx>
        <c:axId val="8042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21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1200151</xdr:colOff>
      <xdr:row>0</xdr:row>
      <xdr:rowOff>0</xdr:rowOff>
    </xdr:from>
    <xdr:to>
      <xdr:col>1</xdr:col>
      <xdr:colOff>2228851</xdr:colOff>
      <xdr:row>5</xdr:row>
      <xdr:rowOff>26120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5E828D-3DCE-4CD8-89C0-AEE70FDB3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6" y="0"/>
          <a:ext cx="1028700" cy="1489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586740</xdr:colOff>
      <xdr:row>19</xdr:row>
      <xdr:rowOff>153670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CEC3A3-1689-41BD-BB03-FD945155E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9</xdr:col>
      <xdr:colOff>571500</xdr:colOff>
      <xdr:row>41</xdr:row>
      <xdr:rowOff>178435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D03D356-7BB5-4643-BFDF-DD077D573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615DF-2214-49C0-8F1F-F61D1A2D94B6}">
  <dimension ref="A2:C29"/>
  <sheetViews>
    <sheetView tabSelected="1" workbookViewId="0">
      <selection activeCell="F9" sqref="F9"/>
    </sheetView>
  </sheetViews>
  <sheetFormatPr defaultRowHeight="14.4"/>
  <cols>
    <col min="1" max="1" width="33.88671875" bestFit="1" customWidth="1"/>
    <col min="2" max="2" width="22.21875" bestFit="1" customWidth="1"/>
    <col min="3" max="3" width="13.109375" bestFit="1" customWidth="1"/>
  </cols>
  <sheetData>
    <row r="2" spans="1:3" ht="18">
      <c r="A2" s="60" t="s">
        <v>61</v>
      </c>
      <c r="B2" s="60"/>
      <c r="C2" s="60"/>
    </row>
    <row r="3" spans="1:3" ht="10.95" customHeight="1">
      <c r="A3" s="55"/>
      <c r="B3" s="55"/>
      <c r="C3" s="55"/>
    </row>
    <row r="4" spans="1:3" ht="15.6">
      <c r="A4" s="42" t="s">
        <v>62</v>
      </c>
      <c r="B4" s="39" t="s">
        <v>63</v>
      </c>
      <c r="C4" s="39" t="s">
        <v>64</v>
      </c>
    </row>
    <row r="5" spans="1:3" ht="15.6">
      <c r="A5" s="56" t="s">
        <v>65</v>
      </c>
      <c r="B5" s="56"/>
      <c r="C5" s="41"/>
    </row>
    <row r="6" spans="1:3" ht="15.6">
      <c r="A6" s="40" t="s">
        <v>66</v>
      </c>
      <c r="B6" s="43">
        <f>+'Debt by Fiscal Year'!K29</f>
        <v>85650000</v>
      </c>
      <c r="C6" s="46">
        <f>+'Debt by Fiscal Year'!L29</f>
        <v>1006.6640809562427</v>
      </c>
    </row>
    <row r="7" spans="1:3" ht="15.6">
      <c r="A7" s="40" t="s">
        <v>67</v>
      </c>
      <c r="B7" s="43">
        <f>+'Debt by Fiscal Year'!K19</f>
        <v>37643080</v>
      </c>
      <c r="C7" s="46">
        <f>+'Debt by Fiscal Year'!L19</f>
        <v>442.4277470234947</v>
      </c>
    </row>
    <row r="8" spans="1:3" ht="15.6">
      <c r="A8" s="40" t="s">
        <v>35</v>
      </c>
      <c r="B8" s="43">
        <f>+'Debt by Fiscal Year'!K33</f>
        <v>2013456</v>
      </c>
      <c r="C8" s="46">
        <f>+'Debt by Fiscal Year'!L33</f>
        <v>23.664609851556715</v>
      </c>
    </row>
    <row r="9" spans="1:3" ht="15.6">
      <c r="A9" s="38" t="s">
        <v>73</v>
      </c>
      <c r="B9" s="44">
        <f>SUM(B6:B8)</f>
        <v>125306536</v>
      </c>
      <c r="C9" s="47">
        <f>SUM(C6:C8)</f>
        <v>1472.7564378312941</v>
      </c>
    </row>
    <row r="10" spans="1:3" ht="15.6">
      <c r="A10" s="38"/>
      <c r="B10" s="53"/>
      <c r="C10" s="54"/>
    </row>
    <row r="11" spans="1:3" ht="15.6">
      <c r="A11" s="57" t="s">
        <v>68</v>
      </c>
      <c r="B11" s="57"/>
      <c r="C11" s="48"/>
    </row>
    <row r="12" spans="1:3" ht="15.6">
      <c r="A12" s="40" t="s">
        <v>66</v>
      </c>
      <c r="B12" s="43">
        <f>+'Debt by Fiscal Year'!K53</f>
        <v>64675869</v>
      </c>
      <c r="C12" s="46">
        <f>+'Debt by Fiscal Year'!L53</f>
        <v>760.15031204823526</v>
      </c>
    </row>
    <row r="13" spans="1:3" ht="15.6">
      <c r="A13" s="40" t="s">
        <v>67</v>
      </c>
      <c r="B13" s="43">
        <f>+'Debt by Fiscal Year'!K45</f>
        <v>27724861</v>
      </c>
      <c r="C13" s="46">
        <f>+'Debt by Fiscal Year'!L45</f>
        <v>325.85664586345098</v>
      </c>
    </row>
    <row r="14" spans="1:3" ht="15.6">
      <c r="A14" s="38" t="s">
        <v>73</v>
      </c>
      <c r="B14" s="44">
        <f>SUM(B12:B13)</f>
        <v>92400730</v>
      </c>
      <c r="C14" s="47">
        <f>SUM(C11:C13)</f>
        <v>1086.0069579116862</v>
      </c>
    </row>
    <row r="15" spans="1:3" ht="15.6">
      <c r="A15" s="38"/>
      <c r="B15" s="53"/>
      <c r="C15" s="54"/>
    </row>
    <row r="16" spans="1:3" ht="15.6">
      <c r="A16" s="58" t="s">
        <v>69</v>
      </c>
      <c r="B16" s="58"/>
      <c r="C16" s="49"/>
    </row>
    <row r="17" spans="1:3" ht="15.6">
      <c r="A17" s="40" t="s">
        <v>66</v>
      </c>
      <c r="B17" s="43" t="s">
        <v>70</v>
      </c>
      <c r="C17" s="46" t="s">
        <v>71</v>
      </c>
    </row>
    <row r="18" spans="1:3" ht="15.6">
      <c r="A18" s="40" t="s">
        <v>67</v>
      </c>
      <c r="B18" s="43">
        <f>+'Debt by Fiscal Year'!K63</f>
        <v>8558941</v>
      </c>
      <c r="C18" s="46">
        <f>+'Debt by Fiscal Year'!L63</f>
        <v>100.59519527990315</v>
      </c>
    </row>
    <row r="19" spans="1:3" ht="15.6">
      <c r="A19" s="38" t="s">
        <v>73</v>
      </c>
      <c r="B19" s="44">
        <f>SUM(B17:B18)</f>
        <v>8558941</v>
      </c>
      <c r="C19" s="47">
        <f>SUM(C16:C18)</f>
        <v>100.59519527990315</v>
      </c>
    </row>
    <row r="20" spans="1:3" ht="15.6">
      <c r="A20" s="38"/>
      <c r="B20" s="53"/>
      <c r="C20" s="54"/>
    </row>
    <row r="21" spans="1:3" ht="15.6">
      <c r="A21" s="59" t="s">
        <v>72</v>
      </c>
      <c r="B21" s="59"/>
      <c r="C21" s="50"/>
    </row>
    <row r="22" spans="1:3" ht="15.6">
      <c r="A22" s="40" t="s">
        <v>66</v>
      </c>
      <c r="B22" s="43">
        <f>+'Debt by Fiscal Year'!K68+'Debt by Fiscal Year'!K72</f>
        <v>16345000</v>
      </c>
      <c r="C22" s="46">
        <f>+'Debt by Fiscal Year'!L68+'Debt by Fiscal Year'!L72</f>
        <v>192.10653126946627</v>
      </c>
    </row>
    <row r="23" spans="1:3" ht="15.6">
      <c r="A23" s="40" t="s">
        <v>67</v>
      </c>
      <c r="B23" s="43" t="s">
        <v>70</v>
      </c>
      <c r="C23" s="46" t="s">
        <v>71</v>
      </c>
    </row>
    <row r="24" spans="1:3" ht="15.6">
      <c r="A24" s="40" t="s">
        <v>11</v>
      </c>
      <c r="B24" s="43">
        <f>+'Debt by Fiscal Year'!K86</f>
        <v>60105000</v>
      </c>
      <c r="C24" s="46">
        <f>+'Debt by Fiscal Year'!L86</f>
        <v>706.42784104932832</v>
      </c>
    </row>
    <row r="25" spans="1:3" ht="15.6">
      <c r="A25" s="40" t="s">
        <v>43</v>
      </c>
      <c r="B25" s="43">
        <f>+'Debt by Fiscal Year'!K78</f>
        <v>62765000</v>
      </c>
      <c r="C25" s="46">
        <f>+'Debt by Fiscal Year'!L78</f>
        <v>737.69143072059046</v>
      </c>
    </row>
    <row r="26" spans="1:3" ht="15.6">
      <c r="A26" s="38" t="s">
        <v>73</v>
      </c>
      <c r="B26" s="44">
        <f>SUM(B22:B25)</f>
        <v>139215000</v>
      </c>
      <c r="C26" s="47">
        <f>SUM(C22:C25)</f>
        <v>1636.225803039385</v>
      </c>
    </row>
    <row r="27" spans="1:3" ht="15" thickBot="1">
      <c r="C27" s="52"/>
    </row>
    <row r="28" spans="1:3" ht="16.2" thickBot="1">
      <c r="A28" s="38" t="s">
        <v>13</v>
      </c>
      <c r="B28" s="45">
        <f>+B9+B14+B19+B26</f>
        <v>365481207</v>
      </c>
      <c r="C28" s="51">
        <f>+C9+C14+C19+C26</f>
        <v>4295.584394062269</v>
      </c>
    </row>
    <row r="29" spans="1:3" ht="15" thickTop="1"/>
  </sheetData>
  <mergeCells count="5">
    <mergeCell ref="A5:B5"/>
    <mergeCell ref="A11:B11"/>
    <mergeCell ref="A16:B16"/>
    <mergeCell ref="A21:B21"/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showGridLines="0" zoomScale="80" zoomScaleNormal="80" workbookViewId="0">
      <selection activeCell="B6" sqref="B6"/>
    </sheetView>
  </sheetViews>
  <sheetFormatPr defaultColWidth="9.109375" defaultRowHeight="13.2"/>
  <cols>
    <col min="1" max="1" width="4.33203125" style="1" bestFit="1" customWidth="1"/>
    <col min="2" max="2" width="66.77734375" style="9" customWidth="1"/>
    <col min="3" max="3" width="15.33203125" style="1" bestFit="1" customWidth="1"/>
    <col min="4" max="4" width="11.44140625" style="1" customWidth="1"/>
    <col min="5" max="5" width="15.33203125" style="1" customWidth="1"/>
    <col min="6" max="6" width="11.44140625" style="1" customWidth="1"/>
    <col min="7" max="7" width="15.33203125" style="1" customWidth="1"/>
    <col min="8" max="8" width="11.44140625" style="1" customWidth="1"/>
    <col min="9" max="9" width="15.33203125" style="1" customWidth="1"/>
    <col min="10" max="10" width="11.44140625" style="1" customWidth="1"/>
    <col min="11" max="11" width="15.33203125" style="1" bestFit="1" customWidth="1"/>
    <col min="12" max="12" width="10.109375" style="1" bestFit="1" customWidth="1"/>
    <col min="13" max="16384" width="9.109375" style="1"/>
  </cols>
  <sheetData>
    <row r="1" spans="1:13" ht="25.5" customHeight="1">
      <c r="B1" s="24"/>
      <c r="C1" s="61" t="s">
        <v>45</v>
      </c>
      <c r="D1" s="62"/>
      <c r="E1" s="62"/>
      <c r="F1" s="62"/>
      <c r="G1" s="62"/>
      <c r="H1" s="62"/>
      <c r="I1" s="62"/>
      <c r="J1" s="62"/>
      <c r="K1" s="62"/>
      <c r="L1" s="63"/>
    </row>
    <row r="2" spans="1:13" ht="25.5" customHeight="1">
      <c r="B2" s="24"/>
      <c r="C2" s="64" t="s">
        <v>44</v>
      </c>
      <c r="D2" s="65"/>
      <c r="E2" s="65"/>
      <c r="F2" s="65"/>
      <c r="G2" s="65"/>
      <c r="H2" s="65"/>
      <c r="I2" s="65"/>
      <c r="J2" s="65"/>
      <c r="K2" s="65"/>
      <c r="L2" s="66"/>
    </row>
    <row r="3" spans="1:13" ht="22.5" customHeight="1">
      <c r="B3" s="25"/>
      <c r="C3" s="69">
        <v>2020</v>
      </c>
      <c r="D3" s="69"/>
      <c r="E3" s="69">
        <v>2021</v>
      </c>
      <c r="F3" s="69"/>
      <c r="G3" s="69">
        <v>2022</v>
      </c>
      <c r="H3" s="69"/>
      <c r="I3" s="69">
        <v>2023</v>
      </c>
      <c r="J3" s="69"/>
      <c r="K3" s="69">
        <v>2024</v>
      </c>
      <c r="L3" s="69"/>
    </row>
    <row r="4" spans="1:13" ht="14.25" customHeight="1">
      <c r="B4" s="25"/>
      <c r="C4" s="29" t="s">
        <v>0</v>
      </c>
      <c r="D4" s="30">
        <v>92984</v>
      </c>
      <c r="E4" s="29" t="s">
        <v>0</v>
      </c>
      <c r="F4" s="30">
        <v>94081</v>
      </c>
      <c r="G4" s="29" t="s">
        <v>0</v>
      </c>
      <c r="H4" s="30">
        <v>84324</v>
      </c>
      <c r="I4" s="29" t="s">
        <v>0</v>
      </c>
      <c r="J4" s="30">
        <v>83902</v>
      </c>
      <c r="K4" s="29" t="s">
        <v>0</v>
      </c>
      <c r="L4" s="30">
        <v>85083</v>
      </c>
    </row>
    <row r="5" spans="1:13" s="2" customFormat="1" ht="29.25" customHeight="1">
      <c r="B5" s="25"/>
      <c r="C5" s="11" t="s">
        <v>1</v>
      </c>
      <c r="D5" s="11" t="s">
        <v>2</v>
      </c>
      <c r="E5" s="11" t="s">
        <v>1</v>
      </c>
      <c r="F5" s="11" t="s">
        <v>2</v>
      </c>
      <c r="G5" s="11" t="s">
        <v>1</v>
      </c>
      <c r="H5" s="11" t="s">
        <v>2</v>
      </c>
      <c r="I5" s="11" t="s">
        <v>1</v>
      </c>
      <c r="J5" s="11" t="s">
        <v>2</v>
      </c>
      <c r="K5" s="11" t="s">
        <v>1</v>
      </c>
      <c r="L5" s="11" t="s">
        <v>2</v>
      </c>
      <c r="M5" s="21"/>
    </row>
    <row r="6" spans="1:13" s="2" customFormat="1" ht="25.8" customHeight="1"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1"/>
    </row>
    <row r="7" spans="1:13" ht="22.5" customHeight="1">
      <c r="A7" s="67" t="s">
        <v>47</v>
      </c>
      <c r="B7" s="18" t="s">
        <v>17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3" ht="22.5" customHeight="1">
      <c r="A8" s="67"/>
      <c r="B8" s="3" t="s">
        <v>55</v>
      </c>
      <c r="C8" s="14">
        <v>1176000</v>
      </c>
      <c r="D8" s="14">
        <f t="shared" ref="D8" si="0">+C8/$D$4</f>
        <v>12.647337176288394</v>
      </c>
      <c r="E8" s="14">
        <v>0</v>
      </c>
      <c r="F8" s="14">
        <f t="shared" ref="F8" si="1">+E8/$F$4</f>
        <v>0</v>
      </c>
      <c r="G8" s="14">
        <v>-1</v>
      </c>
      <c r="H8" s="14">
        <f>+G8/$H$4</f>
        <v>-1.1859019970589631E-5</v>
      </c>
      <c r="I8" s="14">
        <v>-1</v>
      </c>
      <c r="J8" s="14">
        <f t="shared" ref="J8" si="2">+I8/$J$4</f>
        <v>-1.19186670162809E-5</v>
      </c>
      <c r="K8" s="14">
        <v>-1</v>
      </c>
      <c r="L8" s="4">
        <f>+K8/$L$4</f>
        <v>-1.1753229199722624E-5</v>
      </c>
    </row>
    <row r="9" spans="1:13" ht="21" customHeight="1">
      <c r="A9" s="67"/>
      <c r="B9" s="3" t="s">
        <v>10</v>
      </c>
      <c r="C9" s="14">
        <v>12142754</v>
      </c>
      <c r="D9" s="14">
        <f t="shared" ref="D9:D10" si="3">+C9/$D$4</f>
        <v>130.58971435945969</v>
      </c>
      <c r="E9" s="14">
        <v>1588835</v>
      </c>
      <c r="F9" s="14">
        <f t="shared" ref="F9:F17" si="4">+E9/$F$4</f>
        <v>16.887947619604383</v>
      </c>
      <c r="G9" s="14">
        <v>0</v>
      </c>
      <c r="H9" s="14">
        <f>+G9/$H$4</f>
        <v>0</v>
      </c>
      <c r="I9" s="14">
        <v>0</v>
      </c>
      <c r="J9" s="14">
        <f t="shared" ref="J9:J17" si="5">+I9/$J$4</f>
        <v>0</v>
      </c>
      <c r="K9" s="14">
        <v>0</v>
      </c>
      <c r="L9" s="4">
        <f>+K9/$L$4</f>
        <v>0</v>
      </c>
    </row>
    <row r="10" spans="1:13" ht="21" customHeight="1">
      <c r="A10" s="67"/>
      <c r="B10" s="3" t="s">
        <v>3</v>
      </c>
      <c r="C10" s="14">
        <v>12635000</v>
      </c>
      <c r="D10" s="14">
        <f t="shared" si="3"/>
        <v>135.88359287619375</v>
      </c>
      <c r="E10" s="14">
        <v>11890000</v>
      </c>
      <c r="F10" s="14">
        <f t="shared" si="4"/>
        <v>126.38045939137551</v>
      </c>
      <c r="G10" s="14">
        <v>0</v>
      </c>
      <c r="H10" s="14">
        <f t="shared" ref="H10:H17" si="6">+G10/$H$4</f>
        <v>0</v>
      </c>
      <c r="I10" s="14">
        <v>0</v>
      </c>
      <c r="J10" s="14">
        <f t="shared" si="5"/>
        <v>0</v>
      </c>
      <c r="K10" s="14">
        <v>0</v>
      </c>
      <c r="L10" s="4">
        <f t="shared" ref="L10:L17" si="7">+K10/$L$4</f>
        <v>0</v>
      </c>
    </row>
    <row r="11" spans="1:13" s="6" customFormat="1" ht="21" customHeight="1">
      <c r="A11" s="67"/>
      <c r="B11" s="3" t="s">
        <v>25</v>
      </c>
      <c r="C11" s="14">
        <v>14676871</v>
      </c>
      <c r="D11" s="14">
        <f>+C11/$D$4</f>
        <v>157.8429729845995</v>
      </c>
      <c r="E11" s="14">
        <v>13130293</v>
      </c>
      <c r="F11" s="14">
        <f t="shared" si="4"/>
        <v>139.56370574292364</v>
      </c>
      <c r="G11" s="14">
        <v>11747746</v>
      </c>
      <c r="H11" s="14">
        <f t="shared" si="6"/>
        <v>139.31675442341444</v>
      </c>
      <c r="I11" s="14">
        <v>10306616</v>
      </c>
      <c r="J11" s="14">
        <f t="shared" si="5"/>
        <v>122.84112416867298</v>
      </c>
      <c r="K11" s="14">
        <v>7905974</v>
      </c>
      <c r="L11" s="4">
        <f t="shared" si="7"/>
        <v>92.920724469047869</v>
      </c>
    </row>
    <row r="12" spans="1:13" s="6" customFormat="1" ht="21" customHeight="1">
      <c r="A12" s="67"/>
      <c r="B12" s="3" t="s">
        <v>4</v>
      </c>
      <c r="C12" s="14">
        <v>8968273</v>
      </c>
      <c r="D12" s="14">
        <f t="shared" ref="D12:D13" si="8">+C12/$D$4</f>
        <v>96.44963649660157</v>
      </c>
      <c r="E12" s="14">
        <v>8202769</v>
      </c>
      <c r="F12" s="14">
        <f t="shared" si="4"/>
        <v>87.188369596411604</v>
      </c>
      <c r="G12" s="14">
        <v>7388871</v>
      </c>
      <c r="H12" s="14">
        <f t="shared" si="6"/>
        <v>87.624768749110572</v>
      </c>
      <c r="I12" s="14">
        <v>6526579</v>
      </c>
      <c r="J12" s="14">
        <f t="shared" si="5"/>
        <v>77.788121856451568</v>
      </c>
      <c r="K12" s="14">
        <f>+I12-917285</f>
        <v>5609294</v>
      </c>
      <c r="L12" s="4">
        <f t="shared" si="7"/>
        <v>65.927318030628911</v>
      </c>
    </row>
    <row r="13" spans="1:13" s="6" customFormat="1" ht="21" customHeight="1">
      <c r="A13" s="67"/>
      <c r="B13" s="3" t="s">
        <v>5</v>
      </c>
      <c r="C13" s="14">
        <v>7016800</v>
      </c>
      <c r="D13" s="14">
        <f t="shared" si="8"/>
        <v>75.462445151854084</v>
      </c>
      <c r="E13" s="14">
        <v>6389551</v>
      </c>
      <c r="F13" s="14">
        <f t="shared" si="4"/>
        <v>67.915423943197879</v>
      </c>
      <c r="G13" s="14">
        <v>5724887</v>
      </c>
      <c r="H13" s="14">
        <f t="shared" si="6"/>
        <v>67.891549262368954</v>
      </c>
      <c r="I13" s="14">
        <v>5020608</v>
      </c>
      <c r="J13" s="14">
        <f t="shared" si="5"/>
        <v>59.83895497127601</v>
      </c>
      <c r="K13" s="14">
        <f>+I13-742795</f>
        <v>4277813</v>
      </c>
      <c r="L13" s="4">
        <f t="shared" si="7"/>
        <v>50.278116662553039</v>
      </c>
    </row>
    <row r="14" spans="1:13" s="6" customFormat="1" ht="21" customHeight="1">
      <c r="A14" s="67"/>
      <c r="B14" s="3" t="s">
        <v>26</v>
      </c>
      <c r="C14" s="14">
        <v>2370000</v>
      </c>
      <c r="D14" s="14">
        <f>+C14/$D$4</f>
        <v>25.488256044050591</v>
      </c>
      <c r="E14" s="14">
        <v>2180000</v>
      </c>
      <c r="F14" s="14">
        <f t="shared" si="4"/>
        <v>23.171522411538994</v>
      </c>
      <c r="G14" s="14">
        <v>1995000</v>
      </c>
      <c r="H14" s="14">
        <f t="shared" si="6"/>
        <v>23.658744841326314</v>
      </c>
      <c r="I14" s="14">
        <v>1795000</v>
      </c>
      <c r="J14" s="14">
        <f t="shared" si="5"/>
        <v>21.394007294224213</v>
      </c>
      <c r="K14" s="14">
        <f>+I14-195000</f>
        <v>1600000</v>
      </c>
      <c r="L14" s="4">
        <f t="shared" si="7"/>
        <v>18.805166719556198</v>
      </c>
    </row>
    <row r="15" spans="1:13" s="6" customFormat="1" ht="21" customHeight="1">
      <c r="A15" s="67"/>
      <c r="B15" s="3" t="s">
        <v>28</v>
      </c>
      <c r="C15" s="14">
        <v>7995000</v>
      </c>
      <c r="D15" s="14">
        <f>+C15/$D$4</f>
        <v>85.982534629613696</v>
      </c>
      <c r="E15" s="14">
        <v>7995000</v>
      </c>
      <c r="F15" s="14">
        <f t="shared" si="4"/>
        <v>84.979964073511127</v>
      </c>
      <c r="G15" s="14">
        <v>6835000</v>
      </c>
      <c r="H15" s="14">
        <f t="shared" si="6"/>
        <v>81.056401498980122</v>
      </c>
      <c r="I15" s="14">
        <v>5625000</v>
      </c>
      <c r="J15" s="14">
        <f t="shared" si="5"/>
        <v>67.042501966580062</v>
      </c>
      <c r="K15" s="14">
        <f>+I15-510000</f>
        <v>5115000</v>
      </c>
      <c r="L15" s="4">
        <f t="shared" si="7"/>
        <v>60.117767356581219</v>
      </c>
    </row>
    <row r="16" spans="1:13" s="6" customFormat="1" ht="21" customHeight="1">
      <c r="A16" s="67"/>
      <c r="B16" s="3" t="s">
        <v>27</v>
      </c>
      <c r="C16" s="14">
        <v>0</v>
      </c>
      <c r="D16" s="14">
        <f>+C16/$D$4</f>
        <v>0</v>
      </c>
      <c r="E16" s="14">
        <v>8065000</v>
      </c>
      <c r="F16" s="14">
        <f t="shared" si="4"/>
        <v>85.724003783973387</v>
      </c>
      <c r="G16" s="14">
        <v>8065000</v>
      </c>
      <c r="H16" s="14">
        <f t="shared" si="6"/>
        <v>95.642996062805366</v>
      </c>
      <c r="I16" s="14">
        <v>6510000</v>
      </c>
      <c r="J16" s="14">
        <f t="shared" si="5"/>
        <v>77.590522275988647</v>
      </c>
      <c r="K16" s="14">
        <f>+I16-1630000</f>
        <v>4880000</v>
      </c>
      <c r="L16" s="4">
        <f t="shared" si="7"/>
        <v>57.355758494646402</v>
      </c>
    </row>
    <row r="17" spans="1:12" s="6" customFormat="1" ht="20.399999999999999" customHeight="1">
      <c r="A17" s="67"/>
      <c r="B17" s="3" t="s">
        <v>29</v>
      </c>
      <c r="C17" s="14">
        <v>0</v>
      </c>
      <c r="D17" s="14">
        <f>+C17/$D$4</f>
        <v>0</v>
      </c>
      <c r="E17" s="14">
        <v>0</v>
      </c>
      <c r="F17" s="14">
        <f t="shared" si="4"/>
        <v>0</v>
      </c>
      <c r="G17" s="14">
        <v>8875000</v>
      </c>
      <c r="H17" s="14">
        <f t="shared" si="6"/>
        <v>105.24880223898298</v>
      </c>
      <c r="I17" s="14">
        <v>8875000</v>
      </c>
      <c r="J17" s="14">
        <f t="shared" si="5"/>
        <v>105.77816976949298</v>
      </c>
      <c r="K17" s="14">
        <f>+I17-620000</f>
        <v>8255000</v>
      </c>
      <c r="L17" s="4">
        <f t="shared" si="7"/>
        <v>97.022907043710262</v>
      </c>
    </row>
    <row r="18" spans="1:12" s="6" customFormat="1" ht="21" customHeight="1">
      <c r="A18" s="67"/>
      <c r="B18" s="7"/>
      <c r="C18" s="8"/>
      <c r="D18" s="4"/>
      <c r="E18" s="8"/>
      <c r="F18" s="4"/>
      <c r="G18" s="8"/>
      <c r="H18" s="4"/>
      <c r="I18" s="8"/>
      <c r="J18" s="4"/>
      <c r="K18" s="8"/>
      <c r="L18" s="4"/>
    </row>
    <row r="19" spans="1:12" s="6" customFormat="1" ht="24.75" customHeight="1">
      <c r="A19" s="67"/>
      <c r="B19" s="16" t="s">
        <v>19</v>
      </c>
      <c r="C19" s="17">
        <f>SUM(C8:C17)</f>
        <v>66980698</v>
      </c>
      <c r="D19" s="17">
        <f>+C19/$D$4</f>
        <v>720.34648971866125</v>
      </c>
      <c r="E19" s="17">
        <f>SUM(E8:E17)</f>
        <v>59441448</v>
      </c>
      <c r="F19" s="17">
        <f>+E19/$F$4</f>
        <v>631.81139656253652</v>
      </c>
      <c r="G19" s="17">
        <f>SUM(G8:G17)</f>
        <v>50631503</v>
      </c>
      <c r="H19" s="17">
        <f>+G19/$H$4</f>
        <v>600.44000521796875</v>
      </c>
      <c r="I19" s="17">
        <f>SUM(I8:I17)</f>
        <v>44658802</v>
      </c>
      <c r="J19" s="17">
        <f>+I19/$J$4</f>
        <v>532.27339038401942</v>
      </c>
      <c r="K19" s="17">
        <f>SUM(K8:K17)</f>
        <v>37643080</v>
      </c>
      <c r="L19" s="17">
        <f>+K19/$L$4</f>
        <v>442.4277470234947</v>
      </c>
    </row>
    <row r="20" spans="1:12" s="6" customFormat="1" ht="21" customHeight="1">
      <c r="A20" s="67"/>
      <c r="B20" s="18" t="s">
        <v>18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s="6" customFormat="1" ht="21" customHeight="1">
      <c r="A21" s="67"/>
      <c r="B21" s="12" t="s">
        <v>6</v>
      </c>
      <c r="C21" s="37">
        <v>5600000</v>
      </c>
      <c r="D21" s="14">
        <f t="shared" ref="D21:D26" si="9">+C21/$D$4</f>
        <v>60.225415125182828</v>
      </c>
      <c r="E21" s="37">
        <v>5325000</v>
      </c>
      <c r="F21" s="14">
        <f t="shared" ref="F21:F27" si="10">+E21/$F$4</f>
        <v>56.600163688736302</v>
      </c>
      <c r="G21" s="37">
        <v>5045000</v>
      </c>
      <c r="H21" s="14">
        <f t="shared" ref="H21:H27" si="11">+G21/$H$4</f>
        <v>59.828755751624684</v>
      </c>
      <c r="I21" s="37">
        <v>4755000</v>
      </c>
      <c r="J21" s="14">
        <f t="shared" ref="J21:J27" si="12">+I21/$J$4</f>
        <v>56.673261662415676</v>
      </c>
      <c r="K21" s="37">
        <f>+I21-300000</f>
        <v>4455000</v>
      </c>
      <c r="L21" s="4">
        <f t="shared" ref="L21:L27" si="13">+K21/$L$4</f>
        <v>52.360636084764288</v>
      </c>
    </row>
    <row r="22" spans="1:12" s="6" customFormat="1" ht="21" customHeight="1">
      <c r="A22" s="67"/>
      <c r="B22" s="12" t="s">
        <v>8</v>
      </c>
      <c r="C22" s="37">
        <v>14905000</v>
      </c>
      <c r="D22" s="14">
        <f t="shared" si="9"/>
        <v>160.29639507872321</v>
      </c>
      <c r="E22" s="37">
        <v>13340000</v>
      </c>
      <c r="F22" s="14">
        <f t="shared" si="10"/>
        <v>141.79271053666523</v>
      </c>
      <c r="G22" s="37">
        <v>11695000</v>
      </c>
      <c r="H22" s="14">
        <f t="shared" si="11"/>
        <v>138.69123855604573</v>
      </c>
      <c r="I22" s="37">
        <v>9965000</v>
      </c>
      <c r="J22" s="14">
        <f t="shared" si="12"/>
        <v>118.76951681723916</v>
      </c>
      <c r="K22" s="37">
        <f>+I22-1815000</f>
        <v>8150000</v>
      </c>
      <c r="L22" s="4">
        <f t="shared" si="13"/>
        <v>95.788817977739384</v>
      </c>
    </row>
    <row r="23" spans="1:12" s="6" customFormat="1" ht="21" customHeight="1">
      <c r="A23" s="67"/>
      <c r="B23" s="12" t="s">
        <v>33</v>
      </c>
      <c r="C23" s="37">
        <v>6925000</v>
      </c>
      <c r="D23" s="14">
        <f t="shared" si="9"/>
        <v>74.475178525337697</v>
      </c>
      <c r="E23" s="37">
        <v>6300000</v>
      </c>
      <c r="F23" s="14">
        <f t="shared" si="10"/>
        <v>66.963573941603514</v>
      </c>
      <c r="G23" s="37">
        <v>4810000</v>
      </c>
      <c r="H23" s="14">
        <f t="shared" si="11"/>
        <v>57.041886058536122</v>
      </c>
      <c r="I23" s="37">
        <v>3270000</v>
      </c>
      <c r="J23" s="14">
        <f t="shared" si="12"/>
        <v>38.974041143238537</v>
      </c>
      <c r="K23" s="37">
        <f>+I23-1605000</f>
        <v>1665000</v>
      </c>
      <c r="L23" s="4">
        <f t="shared" si="13"/>
        <v>19.569126617538167</v>
      </c>
    </row>
    <row r="24" spans="1:12" s="6" customFormat="1" ht="21" customHeight="1">
      <c r="A24" s="67"/>
      <c r="B24" s="12" t="s">
        <v>31</v>
      </c>
      <c r="C24" s="37">
        <v>0</v>
      </c>
      <c r="D24" s="14">
        <f t="shared" si="9"/>
        <v>0</v>
      </c>
      <c r="E24" s="37">
        <v>30260000</v>
      </c>
      <c r="F24" s="14">
        <f t="shared" si="10"/>
        <v>321.63773769411466</v>
      </c>
      <c r="G24" s="37">
        <v>28975000</v>
      </c>
      <c r="H24" s="14">
        <f t="shared" si="11"/>
        <v>343.61510364783453</v>
      </c>
      <c r="I24" s="37">
        <v>28015000</v>
      </c>
      <c r="J24" s="14">
        <f t="shared" si="12"/>
        <v>333.90145646110938</v>
      </c>
      <c r="K24" s="37">
        <f>+I24-1010000</f>
        <v>27005000</v>
      </c>
      <c r="L24" s="4">
        <f t="shared" si="13"/>
        <v>317.39595453850944</v>
      </c>
    </row>
    <row r="25" spans="1:12" s="6" customFormat="1" ht="21" customHeight="1">
      <c r="A25" s="67"/>
      <c r="B25" s="12" t="s">
        <v>32</v>
      </c>
      <c r="C25" s="37">
        <v>0</v>
      </c>
      <c r="D25" s="14">
        <f t="shared" si="9"/>
        <v>0</v>
      </c>
      <c r="E25" s="37">
        <v>0</v>
      </c>
      <c r="F25" s="14">
        <f t="shared" si="10"/>
        <v>0</v>
      </c>
      <c r="G25" s="37">
        <v>0</v>
      </c>
      <c r="H25" s="14">
        <f t="shared" si="11"/>
        <v>0</v>
      </c>
      <c r="I25" s="37">
        <v>24270000</v>
      </c>
      <c r="J25" s="14">
        <f t="shared" si="12"/>
        <v>289.26604848513745</v>
      </c>
      <c r="K25" s="37">
        <f>24270000-975000</f>
        <v>23295000</v>
      </c>
      <c r="L25" s="4">
        <f t="shared" si="13"/>
        <v>273.7914742075385</v>
      </c>
    </row>
    <row r="26" spans="1:12" s="6" customFormat="1" ht="21" customHeight="1">
      <c r="A26" s="67"/>
      <c r="B26" s="12" t="s">
        <v>16</v>
      </c>
      <c r="C26" s="37">
        <v>0</v>
      </c>
      <c r="D26" s="14">
        <f t="shared" si="9"/>
        <v>0</v>
      </c>
      <c r="E26" s="37">
        <v>0</v>
      </c>
      <c r="F26" s="14">
        <f t="shared" si="10"/>
        <v>0</v>
      </c>
      <c r="G26" s="37">
        <v>0</v>
      </c>
      <c r="H26" s="14">
        <f t="shared" si="11"/>
        <v>0</v>
      </c>
      <c r="I26" s="37">
        <v>0</v>
      </c>
      <c r="J26" s="14">
        <f t="shared" si="12"/>
        <v>0</v>
      </c>
      <c r="K26" s="37">
        <v>21080000</v>
      </c>
      <c r="L26" s="4">
        <f t="shared" si="13"/>
        <v>247.7580715301529</v>
      </c>
    </row>
    <row r="27" spans="1:12" s="6" customFormat="1" ht="21" customHeight="1">
      <c r="A27" s="67"/>
      <c r="B27" s="12" t="s">
        <v>34</v>
      </c>
      <c r="C27" s="5">
        <v>0</v>
      </c>
      <c r="D27" s="4">
        <f>+C27/$D$4</f>
        <v>0</v>
      </c>
      <c r="E27" s="5">
        <v>0</v>
      </c>
      <c r="F27" s="4">
        <f t="shared" si="10"/>
        <v>0</v>
      </c>
      <c r="G27" s="5">
        <v>0</v>
      </c>
      <c r="H27" s="4">
        <f t="shared" si="11"/>
        <v>0</v>
      </c>
      <c r="I27" s="5">
        <v>0</v>
      </c>
      <c r="J27" s="4">
        <f t="shared" si="12"/>
        <v>0</v>
      </c>
      <c r="K27" s="5">
        <v>0</v>
      </c>
      <c r="L27" s="4">
        <f t="shared" si="13"/>
        <v>0</v>
      </c>
    </row>
    <row r="28" spans="1:12" s="6" customFormat="1" ht="21" customHeight="1">
      <c r="A28" s="67"/>
      <c r="B28" s="7"/>
      <c r="C28" s="8"/>
      <c r="D28" s="4"/>
      <c r="E28" s="8"/>
      <c r="F28" s="4"/>
      <c r="G28" s="8"/>
      <c r="H28" s="4"/>
      <c r="I28" s="8"/>
      <c r="J28" s="4"/>
      <c r="K28" s="8"/>
      <c r="L28" s="4"/>
    </row>
    <row r="29" spans="1:12" s="6" customFormat="1" ht="25.5" customHeight="1">
      <c r="A29" s="67"/>
      <c r="B29" s="16" t="s">
        <v>20</v>
      </c>
      <c r="C29" s="17">
        <f>SUM(C21:C27)</f>
        <v>27430000</v>
      </c>
      <c r="D29" s="17">
        <f>+C29/$D$4</f>
        <v>294.99698872924375</v>
      </c>
      <c r="E29" s="17">
        <f>SUM(E21:E27)</f>
        <v>55225000</v>
      </c>
      <c r="F29" s="17">
        <f>+E29/$F$4</f>
        <v>586.99418586111972</v>
      </c>
      <c r="G29" s="17">
        <f>SUM(G21:G27)</f>
        <v>50525000</v>
      </c>
      <c r="H29" s="17">
        <f>+G29/$H$4</f>
        <v>599.17698401404107</v>
      </c>
      <c r="I29" s="17">
        <f>SUM(I21:I27)</f>
        <v>70275000</v>
      </c>
      <c r="J29" s="17">
        <f>+I29/$J$4</f>
        <v>837.58432456914022</v>
      </c>
      <c r="K29" s="17">
        <f>SUM(K21:K27)</f>
        <v>85650000</v>
      </c>
      <c r="L29" s="17">
        <f>+K29/$L$4</f>
        <v>1006.6640809562427</v>
      </c>
    </row>
    <row r="30" spans="1:12" s="6" customFormat="1" ht="25.5" customHeight="1">
      <c r="A30" s="67"/>
      <c r="B30" s="18" t="s">
        <v>35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s="6" customFormat="1" ht="20.399999999999999" customHeight="1">
      <c r="A31" s="67"/>
      <c r="B31" s="12" t="s">
        <v>74</v>
      </c>
      <c r="C31" s="5">
        <v>621452</v>
      </c>
      <c r="D31" s="4">
        <f t="shared" ref="D31" si="14">+C31/$D$4</f>
        <v>6.6834294072098421</v>
      </c>
      <c r="E31" s="5">
        <v>269206</v>
      </c>
      <c r="F31" s="4">
        <f t="shared" ref="F31" si="15">+E31/$F$4</f>
        <v>2.8614279184957643</v>
      </c>
      <c r="G31" s="5">
        <v>0</v>
      </c>
      <c r="H31" s="4">
        <f t="shared" ref="H31" si="16">+G31/$H$4</f>
        <v>0</v>
      </c>
      <c r="I31" s="5">
        <v>612329</v>
      </c>
      <c r="J31" s="4">
        <f t="shared" ref="J31" si="17">+I31/$J$4</f>
        <v>7.2981454554122669</v>
      </c>
      <c r="K31" s="5">
        <v>2013456</v>
      </c>
      <c r="L31" s="4">
        <f t="shared" ref="L31" si="18">+K31/$L$4</f>
        <v>23.664609851556715</v>
      </c>
    </row>
    <row r="32" spans="1:12" s="6" customFormat="1" ht="20.399999999999999" customHeight="1">
      <c r="A32" s="67"/>
      <c r="B32" s="34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s="6" customFormat="1" ht="25.5" customHeight="1">
      <c r="A33" s="67"/>
      <c r="B33" s="16" t="s">
        <v>36</v>
      </c>
      <c r="C33" s="17">
        <f>SUM(C31)</f>
        <v>621452</v>
      </c>
      <c r="D33" s="17">
        <f>+C33/$D$4</f>
        <v>6.6834294072098421</v>
      </c>
      <c r="E33" s="17">
        <f>SUM(E31)</f>
        <v>269206</v>
      </c>
      <c r="F33" s="17">
        <f>+E33/$F$4</f>
        <v>2.8614279184957643</v>
      </c>
      <c r="G33" s="17">
        <f>SUM(G31)</f>
        <v>0</v>
      </c>
      <c r="H33" s="17">
        <f>+G33/$H$4</f>
        <v>0</v>
      </c>
      <c r="I33" s="17">
        <f>SUM(I31)</f>
        <v>612329</v>
      </c>
      <c r="J33" s="17">
        <f>+I33/$J$4</f>
        <v>7.2981454554122669</v>
      </c>
      <c r="K33" s="17">
        <f>SUM(K31)</f>
        <v>2013456</v>
      </c>
      <c r="L33" s="17">
        <f>+K33/$L$4</f>
        <v>23.664609851556715</v>
      </c>
    </row>
    <row r="34" spans="1:12" s="6" customFormat="1" ht="25.2" customHeight="1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s="6" customFormat="1" ht="21" customHeight="1">
      <c r="A35" s="68" t="s">
        <v>46</v>
      </c>
      <c r="B35" s="22" t="s">
        <v>17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s="6" customFormat="1" ht="21" customHeight="1">
      <c r="A36" s="68"/>
      <c r="B36" s="13" t="s">
        <v>55</v>
      </c>
      <c r="C36" s="37">
        <v>224000</v>
      </c>
      <c r="D36" s="37">
        <f t="shared" ref="D36" si="19">+C36/$D$4</f>
        <v>2.409016605007313</v>
      </c>
      <c r="E36" s="37">
        <v>0</v>
      </c>
      <c r="F36" s="14">
        <f t="shared" ref="F36" si="20">+E36/$F$4</f>
        <v>0</v>
      </c>
      <c r="G36" s="37">
        <v>0</v>
      </c>
      <c r="H36" s="14">
        <f t="shared" ref="H36" si="21">+G36/$H$4</f>
        <v>0</v>
      </c>
      <c r="I36" s="37">
        <v>0</v>
      </c>
      <c r="J36" s="14">
        <f t="shared" ref="J36" si="22">+I36/$J$4</f>
        <v>0</v>
      </c>
      <c r="K36" s="37">
        <v>0</v>
      </c>
      <c r="L36" s="4">
        <f t="shared" ref="L36" si="23">+K36/$L$4</f>
        <v>0</v>
      </c>
    </row>
    <row r="37" spans="1:12" s="6" customFormat="1" ht="21" customHeight="1">
      <c r="A37" s="68"/>
      <c r="B37" s="13" t="s">
        <v>10</v>
      </c>
      <c r="C37" s="37">
        <v>5817246</v>
      </c>
      <c r="D37" s="37">
        <f t="shared" ref="D37" si="24">+C37/$D$4</f>
        <v>62.561795577733804</v>
      </c>
      <c r="E37" s="37">
        <v>761165</v>
      </c>
      <c r="F37" s="14">
        <f t="shared" ref="F37" si="25">+E37/$F$4</f>
        <v>8.0905283744858156</v>
      </c>
      <c r="G37" s="37">
        <v>0</v>
      </c>
      <c r="H37" s="14">
        <f t="shared" ref="H37" si="26">+G37/$H$4</f>
        <v>0</v>
      </c>
      <c r="I37" s="37">
        <v>0</v>
      </c>
      <c r="J37" s="14">
        <f t="shared" ref="J37" si="27">+I37/$J$4</f>
        <v>0</v>
      </c>
      <c r="K37" s="37">
        <v>0</v>
      </c>
      <c r="L37" s="4">
        <f t="shared" ref="L37" si="28">+K37/$L$4</f>
        <v>0</v>
      </c>
    </row>
    <row r="38" spans="1:12" s="6" customFormat="1" ht="21" customHeight="1">
      <c r="A38" s="68"/>
      <c r="B38" s="13" t="s">
        <v>25</v>
      </c>
      <c r="C38" s="37">
        <v>2730189</v>
      </c>
      <c r="D38" s="37">
        <f t="shared" ref="D38:D43" si="29">+C38/$D$4</f>
        <v>29.361922481287102</v>
      </c>
      <c r="E38" s="37">
        <v>2442495</v>
      </c>
      <c r="F38" s="14">
        <f t="shared" ref="F38:F43" si="30">+E38/$F$4</f>
        <v>25.961618180078869</v>
      </c>
      <c r="G38" s="37">
        <v>2185314</v>
      </c>
      <c r="H38" s="14">
        <f t="shared" ref="H38:H43" si="31">+G38/$H$4</f>
        <v>25.915682368009108</v>
      </c>
      <c r="I38" s="37">
        <v>1917235</v>
      </c>
      <c r="J38" s="14">
        <f t="shared" ref="J38:J43" si="32">+I38/$J$4</f>
        <v>22.850885556959309</v>
      </c>
      <c r="K38" s="37">
        <f>+I38-280429</f>
        <v>1636806</v>
      </c>
      <c r="L38" s="4">
        <f t="shared" ref="L38:L43" si="33">+K38/$L$4</f>
        <v>19.23775607348119</v>
      </c>
    </row>
    <row r="39" spans="1:12" s="6" customFormat="1" ht="21" customHeight="1">
      <c r="A39" s="68"/>
      <c r="B39" s="13" t="s">
        <v>4</v>
      </c>
      <c r="C39" s="37">
        <v>9991041</v>
      </c>
      <c r="D39" s="37">
        <f t="shared" si="29"/>
        <v>107.44903424245031</v>
      </c>
      <c r="E39" s="37">
        <v>9138237</v>
      </c>
      <c r="F39" s="14">
        <f t="shared" si="30"/>
        <v>97.131588737364609</v>
      </c>
      <c r="G39" s="37">
        <v>8231520</v>
      </c>
      <c r="H39" s="14">
        <f t="shared" si="31"/>
        <v>97.617760068307959</v>
      </c>
      <c r="I39" s="37">
        <v>7270890</v>
      </c>
      <c r="J39" s="14">
        <f t="shared" si="32"/>
        <v>86.65931682200663</v>
      </c>
      <c r="K39" s="37">
        <f>+I39-1021895</f>
        <v>6248995</v>
      </c>
      <c r="L39" s="4">
        <f t="shared" si="33"/>
        <v>73.445870502920684</v>
      </c>
    </row>
    <row r="40" spans="1:12" s="6" customFormat="1" ht="21" customHeight="1">
      <c r="A40" s="68"/>
      <c r="B40" s="3" t="s">
        <v>5</v>
      </c>
      <c r="C40" s="37">
        <v>18927709</v>
      </c>
      <c r="D40" s="37">
        <f t="shared" si="29"/>
        <v>203.55877355243913</v>
      </c>
      <c r="E40" s="37">
        <v>17136034</v>
      </c>
      <c r="F40" s="14">
        <f t="shared" si="30"/>
        <v>182.14128251187807</v>
      </c>
      <c r="G40" s="37">
        <v>15237487</v>
      </c>
      <c r="H40" s="14">
        <f t="shared" si="31"/>
        <v>180.70166263459987</v>
      </c>
      <c r="I40" s="37">
        <v>13225781</v>
      </c>
      <c r="J40" s="14">
        <f t="shared" si="32"/>
        <v>157.6336797692546</v>
      </c>
      <c r="K40" s="37">
        <f>+I40-2121721</f>
        <v>11104060</v>
      </c>
      <c r="L40" s="4">
        <f t="shared" si="33"/>
        <v>130.508562227472</v>
      </c>
    </row>
    <row r="41" spans="1:12" s="6" customFormat="1" ht="21" customHeight="1">
      <c r="A41" s="68"/>
      <c r="B41" s="12" t="s">
        <v>28</v>
      </c>
      <c r="C41" s="37">
        <v>1535000</v>
      </c>
      <c r="D41" s="37">
        <f t="shared" si="29"/>
        <v>16.508216467349222</v>
      </c>
      <c r="E41" s="37">
        <v>1535000</v>
      </c>
      <c r="F41" s="14">
        <f t="shared" si="30"/>
        <v>16.315727936565299</v>
      </c>
      <c r="G41" s="37">
        <v>1315000</v>
      </c>
      <c r="H41" s="14">
        <f t="shared" si="31"/>
        <v>15.594611261325364</v>
      </c>
      <c r="I41" s="37">
        <v>1085000</v>
      </c>
      <c r="J41" s="14">
        <f t="shared" si="32"/>
        <v>12.931753712664776</v>
      </c>
      <c r="K41" s="37">
        <f>+I41-100000</f>
        <v>985000</v>
      </c>
      <c r="L41" s="4">
        <f t="shared" si="33"/>
        <v>11.576930761726784</v>
      </c>
    </row>
    <row r="42" spans="1:12" s="6" customFormat="1" ht="21" customHeight="1">
      <c r="A42" s="68"/>
      <c r="B42" s="12" t="s">
        <v>27</v>
      </c>
      <c r="C42" s="37">
        <v>0</v>
      </c>
      <c r="D42" s="37">
        <f t="shared" si="29"/>
        <v>0</v>
      </c>
      <c r="E42" s="37">
        <v>3865000</v>
      </c>
      <c r="F42" s="14">
        <f t="shared" si="30"/>
        <v>41.081621156237709</v>
      </c>
      <c r="G42" s="37">
        <v>3865000</v>
      </c>
      <c r="H42" s="14">
        <f t="shared" si="31"/>
        <v>45.835112186328921</v>
      </c>
      <c r="I42" s="37">
        <v>3120000</v>
      </c>
      <c r="J42" s="14">
        <f t="shared" si="32"/>
        <v>37.186241090796408</v>
      </c>
      <c r="K42" s="37">
        <f>+I42-780000</f>
        <v>2340000</v>
      </c>
      <c r="L42" s="4">
        <f t="shared" si="33"/>
        <v>27.502556327350941</v>
      </c>
    </row>
    <row r="43" spans="1:12" s="6" customFormat="1" ht="21" customHeight="1">
      <c r="A43" s="68"/>
      <c r="B43" s="3" t="s">
        <v>29</v>
      </c>
      <c r="C43" s="37">
        <v>0</v>
      </c>
      <c r="D43" s="37">
        <f t="shared" si="29"/>
        <v>0</v>
      </c>
      <c r="E43" s="37">
        <v>0</v>
      </c>
      <c r="F43" s="14">
        <f t="shared" si="30"/>
        <v>0</v>
      </c>
      <c r="G43" s="37">
        <v>5813330</v>
      </c>
      <c r="H43" s="14">
        <f t="shared" si="31"/>
        <v>68.940396565627822</v>
      </c>
      <c r="I43" s="37">
        <v>5813330</v>
      </c>
      <c r="J43" s="14">
        <f t="shared" si="32"/>
        <v>69.287144525756233</v>
      </c>
      <c r="K43" s="37">
        <f>+I43-403330</f>
        <v>5410000</v>
      </c>
      <c r="L43" s="4">
        <f t="shared" si="33"/>
        <v>63.584969970499394</v>
      </c>
    </row>
    <row r="44" spans="1:12" s="6" customFormat="1" ht="21" customHeight="1">
      <c r="A44" s="68"/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s="6" customFormat="1" ht="25.5" customHeight="1">
      <c r="A45" s="68"/>
      <c r="B45" s="16" t="s">
        <v>19</v>
      </c>
      <c r="C45" s="17">
        <f>SUM(C36:C44)</f>
        <v>39225185</v>
      </c>
      <c r="D45" s="17">
        <f>+C45/$D$4</f>
        <v>421.8487589262669</v>
      </c>
      <c r="E45" s="17">
        <f>SUM(E36:E44)</f>
        <v>34877931</v>
      </c>
      <c r="F45" s="17">
        <f>+E45/$F$4</f>
        <v>370.72236689661037</v>
      </c>
      <c r="G45" s="17">
        <f>SUM(G36:G44)</f>
        <v>36647651</v>
      </c>
      <c r="H45" s="17">
        <f>+G45/$H$4</f>
        <v>434.60522508419905</v>
      </c>
      <c r="I45" s="17">
        <f>SUM(I36:I44)</f>
        <v>32432236</v>
      </c>
      <c r="J45" s="17">
        <f>+I45/$J$4</f>
        <v>386.54902147743798</v>
      </c>
      <c r="K45" s="17">
        <f>SUM(K36:K44)</f>
        <v>27724861</v>
      </c>
      <c r="L45" s="17">
        <f>+K45/$L$4</f>
        <v>325.85664586345098</v>
      </c>
    </row>
    <row r="46" spans="1:12" s="6" customFormat="1" ht="25.5" customHeight="1">
      <c r="A46" s="68"/>
      <c r="B46" s="18" t="s">
        <v>18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1:12" s="6" customFormat="1" ht="20.399999999999999" customHeight="1">
      <c r="A47" s="68"/>
      <c r="B47" s="12" t="s">
        <v>37</v>
      </c>
      <c r="C47" s="37">
        <v>8266667</v>
      </c>
      <c r="D47" s="14">
        <f t="shared" ref="D47:D51" si="34">+C47/$D$4</f>
        <v>88.904187817258887</v>
      </c>
      <c r="E47" s="37">
        <v>7780000</v>
      </c>
      <c r="F47" s="14">
        <f t="shared" ref="F47:F51" si="35">+E47/$F$4</f>
        <v>82.694699248519896</v>
      </c>
      <c r="G47" s="37">
        <v>510000</v>
      </c>
      <c r="H47" s="14">
        <f t="shared" ref="H47:H51" si="36">+G47/$H$4</f>
        <v>6.0481001850007114</v>
      </c>
      <c r="I47" s="37">
        <v>0</v>
      </c>
      <c r="J47" s="14">
        <f t="shared" ref="J47:J51" si="37">+I47/$J$4</f>
        <v>0</v>
      </c>
      <c r="K47" s="37">
        <v>0</v>
      </c>
      <c r="L47" s="4">
        <f t="shared" ref="L47:L51" si="38">+K47/$L$4</f>
        <v>0</v>
      </c>
    </row>
    <row r="48" spans="1:12" s="6" customFormat="1" ht="20.399999999999999" customHeight="1">
      <c r="A48" s="68"/>
      <c r="B48" s="12" t="s">
        <v>38</v>
      </c>
      <c r="C48" s="37">
        <f>8721091+813909</f>
        <v>9535000</v>
      </c>
      <c r="D48" s="14">
        <f t="shared" si="34"/>
        <v>102.54452378903898</v>
      </c>
      <c r="E48" s="37">
        <f>8282064+772936</f>
        <v>9055000</v>
      </c>
      <c r="F48" s="14">
        <f t="shared" si="35"/>
        <v>96.246851117653932</v>
      </c>
      <c r="G48" s="37">
        <f>7824744+772936</f>
        <v>8597680</v>
      </c>
      <c r="H48" s="14">
        <f t="shared" si="36"/>
        <v>101.96005882073905</v>
      </c>
      <c r="I48" s="37">
        <f>7349131+685869</f>
        <v>8035000</v>
      </c>
      <c r="J48" s="14">
        <f t="shared" si="37"/>
        <v>95.766489475817025</v>
      </c>
      <c r="K48" s="37">
        <f>+I48-493906+685869-46094</f>
        <v>8180869</v>
      </c>
      <c r="L48" s="4">
        <f t="shared" si="38"/>
        <v>96.151628409905626</v>
      </c>
    </row>
    <row r="49" spans="1:12" s="6" customFormat="1" ht="20.399999999999999" customHeight="1">
      <c r="A49" s="68"/>
      <c r="B49" s="12" t="s">
        <v>30</v>
      </c>
      <c r="C49" s="37">
        <v>18440000</v>
      </c>
      <c r="D49" s="14">
        <f t="shared" si="34"/>
        <v>198.31368837649489</v>
      </c>
      <c r="E49" s="37">
        <v>18010000</v>
      </c>
      <c r="F49" s="14">
        <f t="shared" si="35"/>
        <v>191.43078836321894</v>
      </c>
      <c r="G49" s="37">
        <v>17340000</v>
      </c>
      <c r="H49" s="14">
        <f t="shared" si="36"/>
        <v>205.63540629002418</v>
      </c>
      <c r="I49" s="37">
        <v>16650000</v>
      </c>
      <c r="J49" s="14">
        <f t="shared" si="37"/>
        <v>198.44580582107696</v>
      </c>
      <c r="K49" s="37">
        <f>+I49-710000</f>
        <v>15940000</v>
      </c>
      <c r="L49" s="4">
        <f t="shared" si="38"/>
        <v>187.34647344357862</v>
      </c>
    </row>
    <row r="50" spans="1:12" s="6" customFormat="1" ht="20.399999999999999" customHeight="1">
      <c r="A50" s="68"/>
      <c r="B50" s="12" t="s">
        <v>31</v>
      </c>
      <c r="C50" s="37">
        <v>0</v>
      </c>
      <c r="D50" s="14">
        <f t="shared" si="34"/>
        <v>0</v>
      </c>
      <c r="E50" s="37">
        <v>6040000</v>
      </c>
      <c r="F50" s="14">
        <f t="shared" si="35"/>
        <v>64.199997874172254</v>
      </c>
      <c r="G50" s="37">
        <v>5840000</v>
      </c>
      <c r="H50" s="14">
        <f t="shared" si="36"/>
        <v>69.25667662824344</v>
      </c>
      <c r="I50" s="37">
        <v>5645000</v>
      </c>
      <c r="J50" s="14">
        <f t="shared" si="37"/>
        <v>67.280875306905671</v>
      </c>
      <c r="K50" s="37">
        <f>+I50-205000</f>
        <v>5440000</v>
      </c>
      <c r="L50" s="4">
        <f t="shared" si="38"/>
        <v>63.937566846491073</v>
      </c>
    </row>
    <row r="51" spans="1:12" s="6" customFormat="1" ht="20.399999999999999" customHeight="1">
      <c r="A51" s="68"/>
      <c r="B51" s="12" t="s">
        <v>16</v>
      </c>
      <c r="C51" s="37">
        <v>0</v>
      </c>
      <c r="D51" s="14">
        <f t="shared" si="34"/>
        <v>0</v>
      </c>
      <c r="E51" s="37">
        <v>0</v>
      </c>
      <c r="F51" s="14">
        <f t="shared" si="35"/>
        <v>0</v>
      </c>
      <c r="G51" s="37">
        <v>0</v>
      </c>
      <c r="H51" s="14">
        <f t="shared" si="36"/>
        <v>0</v>
      </c>
      <c r="I51" s="37">
        <v>0</v>
      </c>
      <c r="J51" s="14">
        <f t="shared" si="37"/>
        <v>0</v>
      </c>
      <c r="K51" s="37">
        <v>35115000</v>
      </c>
      <c r="L51" s="4">
        <f t="shared" si="38"/>
        <v>412.71464334825993</v>
      </c>
    </row>
    <row r="52" spans="1:12" s="6" customFormat="1" ht="20.399999999999999" customHeight="1">
      <c r="A52" s="68"/>
      <c r="B52" s="34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12" s="6" customFormat="1" ht="25.5" customHeight="1">
      <c r="A53" s="68"/>
      <c r="B53" s="16" t="s">
        <v>20</v>
      </c>
      <c r="C53" s="17">
        <f>SUM(C47:C51)</f>
        <v>36241667</v>
      </c>
      <c r="D53" s="17">
        <f>+C53/$D$4</f>
        <v>389.76239998279272</v>
      </c>
      <c r="E53" s="17">
        <f>SUM(E47:E51)</f>
        <v>40885000</v>
      </c>
      <c r="F53" s="17">
        <f>+E53/$F$4</f>
        <v>434.57233660356502</v>
      </c>
      <c r="G53" s="17">
        <f>SUM(G47:G51)</f>
        <v>32287680</v>
      </c>
      <c r="H53" s="17">
        <f>+G53/$H$4</f>
        <v>382.90024192400739</v>
      </c>
      <c r="I53" s="17">
        <f>SUM(I47:I51)</f>
        <v>30330000</v>
      </c>
      <c r="J53" s="17">
        <f>+I53/$J$4</f>
        <v>361.49317060379968</v>
      </c>
      <c r="K53" s="17">
        <f>SUM(K47:K51)</f>
        <v>64675869</v>
      </c>
      <c r="L53" s="17">
        <f>+K53/$L$4</f>
        <v>760.15031204823526</v>
      </c>
    </row>
    <row r="54" spans="1:12" s="6" customFormat="1" ht="25.5" customHeight="1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 s="6" customFormat="1" ht="25.5" customHeight="1">
      <c r="A55" s="67" t="s">
        <v>48</v>
      </c>
      <c r="B55" s="28" t="s">
        <v>54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s="6" customFormat="1" ht="20.399999999999999" customHeight="1">
      <c r="A56" s="67"/>
      <c r="B56" s="12" t="s">
        <v>37</v>
      </c>
      <c r="C56" s="37">
        <v>4133333</v>
      </c>
      <c r="D56" s="14">
        <f t="shared" ref="D56:D60" si="39">+C56/$D$4</f>
        <v>44.452088531360232</v>
      </c>
      <c r="E56" s="37">
        <v>3890000</v>
      </c>
      <c r="F56" s="14">
        <f t="shared" ref="F56:F60" si="40">+E56/$F$4</f>
        <v>41.347349624259948</v>
      </c>
      <c r="G56" s="37">
        <v>255000</v>
      </c>
      <c r="H56" s="14">
        <f t="shared" ref="H56:H60" si="41">+G56/$H$4</f>
        <v>3.0240500925003557</v>
      </c>
      <c r="I56" s="37">
        <v>0</v>
      </c>
      <c r="J56" s="14">
        <f t="shared" ref="J56:J60" si="42">+I56/$J$4</f>
        <v>0</v>
      </c>
      <c r="K56" s="37">
        <v>0</v>
      </c>
      <c r="L56" s="14">
        <f t="shared" ref="L56:L60" si="43">+K56/$L$4</f>
        <v>0</v>
      </c>
    </row>
    <row r="57" spans="1:12" s="6" customFormat="1" ht="20.399999999999999" customHeight="1">
      <c r="A57" s="67"/>
      <c r="B57" s="13" t="s">
        <v>25</v>
      </c>
      <c r="C57" s="37">
        <v>1382944</v>
      </c>
      <c r="D57" s="14">
        <f t="shared" ref="D57" si="44">+C57/$D$4</f>
        <v>14.872924374085864</v>
      </c>
      <c r="E57" s="37">
        <v>1237216</v>
      </c>
      <c r="F57" s="14">
        <f t="shared" ref="F57" si="45">+E57/$F$4</f>
        <v>13.150540491703957</v>
      </c>
      <c r="G57" s="37">
        <v>1106944</v>
      </c>
      <c r="H57" s="14">
        <f t="shared" ref="H57" si="46">+G57/$H$4</f>
        <v>13.127271002324369</v>
      </c>
      <c r="I57" s="37">
        <v>971152</v>
      </c>
      <c r="J57" s="14">
        <f t="shared" ref="J57" si="47">+I57/$J$4</f>
        <v>11.574837310195228</v>
      </c>
      <c r="K57" s="37">
        <f>+I57-142048</f>
        <v>829104</v>
      </c>
      <c r="L57" s="14">
        <f t="shared" ref="L57" si="48">+K57/$L$4</f>
        <v>9.7446493424068255</v>
      </c>
    </row>
    <row r="58" spans="1:12" s="6" customFormat="1" ht="20.399999999999999" customHeight="1">
      <c r="A58" s="67"/>
      <c r="B58" s="13" t="s">
        <v>4</v>
      </c>
      <c r="C58" s="37">
        <v>1425687</v>
      </c>
      <c r="D58" s="14">
        <f t="shared" ref="D58" si="49">+C58/$D$4</f>
        <v>15.332605609567237</v>
      </c>
      <c r="E58" s="37">
        <v>1303995</v>
      </c>
      <c r="F58" s="14">
        <f t="shared" ref="F58" si="50">+E58/$F$4</f>
        <v>13.860343746346233</v>
      </c>
      <c r="G58" s="37">
        <v>1174610</v>
      </c>
      <c r="H58" s="14">
        <f t="shared" ref="H58" si="51">+G58/$H$4</f>
        <v>13.929723447654286</v>
      </c>
      <c r="I58" s="37">
        <v>1037531</v>
      </c>
      <c r="J58" s="14">
        <f t="shared" ref="J58" si="52">+I58/$J$4</f>
        <v>12.365986508068938</v>
      </c>
      <c r="K58" s="37">
        <f>+I58-145821</f>
        <v>891710</v>
      </c>
      <c r="L58" s="14">
        <f t="shared" ref="L58" si="53">+K58/$L$4</f>
        <v>10.480472009684661</v>
      </c>
    </row>
    <row r="59" spans="1:12" s="6" customFormat="1" ht="20.399999999999999" customHeight="1">
      <c r="A59" s="67"/>
      <c r="B59" s="3" t="s">
        <v>5</v>
      </c>
      <c r="C59" s="37">
        <v>3585491</v>
      </c>
      <c r="D59" s="14">
        <f t="shared" si="39"/>
        <v>38.560300696894089</v>
      </c>
      <c r="E59" s="37">
        <v>3154415</v>
      </c>
      <c r="F59" s="14">
        <f t="shared" si="40"/>
        <v>33.528714618254483</v>
      </c>
      <c r="G59" s="37">
        <v>2697626</v>
      </c>
      <c r="H59" s="14">
        <f t="shared" si="41"/>
        <v>31.991200607181824</v>
      </c>
      <c r="I59" s="37">
        <v>2213611</v>
      </c>
      <c r="J59" s="14">
        <f t="shared" si="42"/>
        <v>26.383292412576576</v>
      </c>
      <c r="K59" s="37">
        <f>+I59-510484</f>
        <v>1703127</v>
      </c>
      <c r="L59" s="14">
        <f t="shared" si="43"/>
        <v>20.017241987235995</v>
      </c>
    </row>
    <row r="60" spans="1:12" s="6" customFormat="1" ht="20.399999999999999" customHeight="1">
      <c r="A60" s="67"/>
      <c r="B60" s="3" t="s">
        <v>26</v>
      </c>
      <c r="C60" s="37">
        <v>3595000</v>
      </c>
      <c r="D60" s="14">
        <f t="shared" si="39"/>
        <v>38.662565602684332</v>
      </c>
      <c r="E60" s="37">
        <v>3315000</v>
      </c>
      <c r="F60" s="14">
        <f t="shared" si="40"/>
        <v>35.235594859748517</v>
      </c>
      <c r="G60" s="37">
        <v>3025000</v>
      </c>
      <c r="H60" s="14">
        <f t="shared" si="41"/>
        <v>35.873535411033629</v>
      </c>
      <c r="I60" s="37">
        <v>2735000</v>
      </c>
      <c r="J60" s="14">
        <f t="shared" si="42"/>
        <v>32.597554289528262</v>
      </c>
      <c r="K60" s="37">
        <f>+I60-305000</f>
        <v>2430000</v>
      </c>
      <c r="L60" s="14">
        <f t="shared" si="43"/>
        <v>28.560346955325976</v>
      </c>
    </row>
    <row r="61" spans="1:12" s="6" customFormat="1" ht="20.399999999999999" customHeight="1">
      <c r="A61" s="67"/>
      <c r="B61" s="3" t="s">
        <v>29</v>
      </c>
      <c r="C61" s="37">
        <v>0</v>
      </c>
      <c r="D61" s="14">
        <f t="shared" ref="D61" si="54">+C61/$D$4</f>
        <v>0</v>
      </c>
      <c r="E61" s="37">
        <v>0</v>
      </c>
      <c r="F61" s="14">
        <f t="shared" ref="F61" si="55">+E61/$F$4</f>
        <v>0</v>
      </c>
      <c r="G61" s="37">
        <v>2906670</v>
      </c>
      <c r="H61" s="14">
        <f t="shared" ref="H61" si="56">+G61/$H$4</f>
        <v>34.470257577913763</v>
      </c>
      <c r="I61" s="37">
        <v>2906670</v>
      </c>
      <c r="J61" s="14">
        <f t="shared" ref="J61" si="57">+I61/$J$4</f>
        <v>34.643631856213204</v>
      </c>
      <c r="K61" s="37">
        <f>+I61-201670</f>
        <v>2705000</v>
      </c>
      <c r="L61" s="14">
        <f t="shared" ref="L61" si="58">+K61/$L$4</f>
        <v>31.792484985249697</v>
      </c>
    </row>
    <row r="62" spans="1:12" s="6" customFormat="1" ht="20.399999999999999" customHeight="1">
      <c r="A62" s="67"/>
      <c r="B62" s="34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6" customFormat="1" ht="25.5" customHeight="1">
      <c r="A63" s="67"/>
      <c r="B63" s="27" t="s">
        <v>49</v>
      </c>
      <c r="C63" s="17">
        <f>SUM(C56:C61)</f>
        <v>14122455</v>
      </c>
      <c r="D63" s="17">
        <f>+C63/$D$4</f>
        <v>151.88048481459177</v>
      </c>
      <c r="E63" s="17">
        <f>SUM(E56:E61)</f>
        <v>12900626</v>
      </c>
      <c r="F63" s="17">
        <f>+E63/$F$4</f>
        <v>137.12254334031314</v>
      </c>
      <c r="G63" s="17">
        <f>SUM(G56:G61)</f>
        <v>11165850</v>
      </c>
      <c r="H63" s="17">
        <f>+G63/$H$4</f>
        <v>132.41603813860823</v>
      </c>
      <c r="I63" s="17">
        <f>SUM(I56:I61)</f>
        <v>9863964</v>
      </c>
      <c r="J63" s="17">
        <f>+I63/$J$4</f>
        <v>117.56530237658221</v>
      </c>
      <c r="K63" s="17">
        <f>SUM(K56:K61)</f>
        <v>8558941</v>
      </c>
      <c r="L63" s="17">
        <f>+K63/$L$4</f>
        <v>100.59519527990315</v>
      </c>
    </row>
    <row r="64" spans="1:12" s="6" customFormat="1" ht="25.5" customHeight="1">
      <c r="A64" s="67"/>
      <c r="B64" s="28" t="s">
        <v>57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s="6" customFormat="1" ht="25.5" customHeight="1">
      <c r="A65" s="67"/>
      <c r="B65" s="12" t="s">
        <v>56</v>
      </c>
      <c r="C65" s="5">
        <v>825000</v>
      </c>
      <c r="D65" s="4">
        <f t="shared" ref="D65:D66" si="59">+C65/$D$4</f>
        <v>8.8724941925492562</v>
      </c>
      <c r="E65" s="5">
        <v>670000</v>
      </c>
      <c r="F65" s="4">
        <f t="shared" ref="F65:F66" si="60">+E65/$F$4</f>
        <v>7.121522942995929</v>
      </c>
      <c r="G65" s="5">
        <v>0</v>
      </c>
      <c r="H65" s="4">
        <f t="shared" ref="H65:H66" si="61">+G65/$H$4</f>
        <v>0</v>
      </c>
      <c r="I65" s="5">
        <v>0</v>
      </c>
      <c r="J65" s="4">
        <f t="shared" ref="J65:J66" si="62">+I65/$J$4</f>
        <v>0</v>
      </c>
      <c r="K65" s="5">
        <v>0</v>
      </c>
      <c r="L65" s="4">
        <f t="shared" ref="L65:L66" si="63">+K65/$L$4</f>
        <v>0</v>
      </c>
    </row>
    <row r="66" spans="1:12" s="6" customFormat="1" ht="25.5" customHeight="1">
      <c r="A66" s="67"/>
      <c r="B66" s="12" t="s">
        <v>7</v>
      </c>
      <c r="C66" s="5">
        <v>15820000</v>
      </c>
      <c r="D66" s="4">
        <f t="shared" si="59"/>
        <v>170.13679772864148</v>
      </c>
      <c r="E66" s="5">
        <v>15145000</v>
      </c>
      <c r="F66" s="4">
        <f t="shared" si="60"/>
        <v>160.97830592787068</v>
      </c>
      <c r="G66" s="5">
        <v>14430000</v>
      </c>
      <c r="H66" s="4">
        <f t="shared" si="61"/>
        <v>171.12565817560838</v>
      </c>
      <c r="I66" s="5">
        <v>13675000</v>
      </c>
      <c r="J66" s="4">
        <f t="shared" si="62"/>
        <v>162.98777144764131</v>
      </c>
      <c r="K66" s="5">
        <f>+I66-795000</f>
        <v>12880000</v>
      </c>
      <c r="L66" s="4">
        <f t="shared" si="63"/>
        <v>151.38159209242738</v>
      </c>
    </row>
    <row r="67" spans="1:12" s="6" customFormat="1" ht="25.5" customHeight="1">
      <c r="A67" s="67"/>
      <c r="B67" s="34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s="6" customFormat="1" ht="25.5" customHeight="1">
      <c r="A68" s="67"/>
      <c r="B68" s="27" t="s">
        <v>59</v>
      </c>
      <c r="C68" s="17">
        <f>SUM(C65:C66)</f>
        <v>16645000</v>
      </c>
      <c r="D68" s="17">
        <f>+C68/$D$4</f>
        <v>179.00929192119074</v>
      </c>
      <c r="E68" s="17">
        <f>SUM(E65:E66)</f>
        <v>15815000</v>
      </c>
      <c r="F68" s="17">
        <f>+E68/$F$4</f>
        <v>168.09982887086659</v>
      </c>
      <c r="G68" s="17">
        <f>SUM(G65:G66)</f>
        <v>14430000</v>
      </c>
      <c r="H68" s="17">
        <f>+G68/$H$4</f>
        <v>171.12565817560838</v>
      </c>
      <c r="I68" s="17">
        <f>SUM(I65:I66)</f>
        <v>13675000</v>
      </c>
      <c r="J68" s="17">
        <f>+I68/$J$4</f>
        <v>162.98777144764131</v>
      </c>
      <c r="K68" s="17">
        <f>SUM(K65:K66)</f>
        <v>12880000</v>
      </c>
      <c r="L68" s="17">
        <f>+K68/$L$4</f>
        <v>151.38159209242738</v>
      </c>
    </row>
    <row r="69" spans="1:12" s="6" customFormat="1" ht="25.5" customHeight="1">
      <c r="A69" s="67"/>
      <c r="B69" s="28" t="s">
        <v>58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s="6" customFormat="1" ht="25.5" customHeight="1">
      <c r="A70" s="67"/>
      <c r="B70" s="12" t="s">
        <v>9</v>
      </c>
      <c r="C70" s="5">
        <v>6710000</v>
      </c>
      <c r="D70" s="4">
        <f t="shared" ref="D70" si="64">+C70/$D$4</f>
        <v>72.162952766067278</v>
      </c>
      <c r="E70" s="5">
        <v>4625000</v>
      </c>
      <c r="F70" s="4">
        <f t="shared" ref="F70" si="65">+E70/$F$4</f>
        <v>49.15976658411369</v>
      </c>
      <c r="G70" s="5">
        <v>4625000</v>
      </c>
      <c r="H70" s="4">
        <f t="shared" ref="H70" si="66">+G70/$H$4</f>
        <v>54.847967363977041</v>
      </c>
      <c r="I70" s="5">
        <v>4060000</v>
      </c>
      <c r="J70" s="4">
        <f t="shared" ref="J70" si="67">+I70/$J$4</f>
        <v>48.389788086100452</v>
      </c>
      <c r="K70" s="5">
        <f>+I70-595000</f>
        <v>3465000</v>
      </c>
      <c r="L70" s="4">
        <f t="shared" ref="L70" si="68">+K70/$L$4</f>
        <v>40.724939177038891</v>
      </c>
    </row>
    <row r="71" spans="1:12" s="6" customFormat="1" ht="25.5" customHeight="1">
      <c r="A71" s="67"/>
      <c r="B71" s="12"/>
      <c r="C71" s="5"/>
      <c r="D71" s="4"/>
      <c r="E71" s="5"/>
      <c r="F71" s="4"/>
      <c r="G71" s="5"/>
      <c r="H71" s="4"/>
      <c r="I71" s="5"/>
      <c r="J71" s="4"/>
      <c r="K71" s="5"/>
      <c r="L71" s="4"/>
    </row>
    <row r="72" spans="1:12" s="6" customFormat="1" ht="25.5" customHeight="1">
      <c r="A72" s="67"/>
      <c r="B72" s="27" t="s">
        <v>60</v>
      </c>
      <c r="C72" s="17">
        <f>SUM(C70:C71)</f>
        <v>6710000</v>
      </c>
      <c r="D72" s="17">
        <f>+C72/$D$4</f>
        <v>72.162952766067278</v>
      </c>
      <c r="E72" s="17">
        <f>SUM(E70:E71)</f>
        <v>4625000</v>
      </c>
      <c r="F72" s="17">
        <f>+E72/$F$4</f>
        <v>49.15976658411369</v>
      </c>
      <c r="G72" s="17">
        <f>SUM(G70:G71)</f>
        <v>4625000</v>
      </c>
      <c r="H72" s="17">
        <f>+G72/$H$4</f>
        <v>54.847967363977041</v>
      </c>
      <c r="I72" s="17">
        <f>SUM(I70:I71)</f>
        <v>4060000</v>
      </c>
      <c r="J72" s="17">
        <f>+I72/$J$4</f>
        <v>48.389788086100452</v>
      </c>
      <c r="K72" s="17">
        <f>SUM(K70:K71)</f>
        <v>3465000</v>
      </c>
      <c r="L72" s="17">
        <f>+K72/$L$4</f>
        <v>40.724939177038891</v>
      </c>
    </row>
    <row r="73" spans="1:12" s="6" customFormat="1" ht="25.5" customHeight="1">
      <c r="A73" s="67"/>
      <c r="B73" s="28" t="s">
        <v>43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s="6" customFormat="1" ht="20.399999999999999" customHeight="1">
      <c r="A74" s="67"/>
      <c r="B74" s="12" t="s">
        <v>40</v>
      </c>
      <c r="C74" s="5">
        <v>0</v>
      </c>
      <c r="D74" s="4">
        <f t="shared" ref="D74:D76" si="69">+C74/$D$4</f>
        <v>0</v>
      </c>
      <c r="E74" s="5">
        <v>18055000</v>
      </c>
      <c r="F74" s="4">
        <f t="shared" ref="F74:F76" si="70">+E74/$F$4</f>
        <v>191.90909960565895</v>
      </c>
      <c r="G74" s="5">
        <v>18055000</v>
      </c>
      <c r="H74" s="4">
        <f t="shared" ref="H74:H76" si="71">+G74/$H$4</f>
        <v>214.11460556899578</v>
      </c>
      <c r="I74" s="5">
        <v>18055000</v>
      </c>
      <c r="J74" s="4">
        <f t="shared" ref="J74:J76" si="72">+I74/$J$4</f>
        <v>215.19153297895164</v>
      </c>
      <c r="K74" s="5">
        <v>18055000</v>
      </c>
      <c r="L74" s="4">
        <f t="shared" ref="L74:L76" si="73">+K74/$L$4</f>
        <v>212.20455320099197</v>
      </c>
    </row>
    <row r="75" spans="1:12" s="6" customFormat="1" ht="20.399999999999999" customHeight="1">
      <c r="A75" s="67"/>
      <c r="B75" s="12" t="s">
        <v>41</v>
      </c>
      <c r="C75" s="5">
        <v>0</v>
      </c>
      <c r="D75" s="4">
        <f t="shared" si="69"/>
        <v>0</v>
      </c>
      <c r="E75" s="5">
        <v>14030000</v>
      </c>
      <c r="F75" s="4">
        <f t="shared" si="70"/>
        <v>149.12681625407893</v>
      </c>
      <c r="G75" s="5">
        <v>14030000</v>
      </c>
      <c r="H75" s="4">
        <f t="shared" si="71"/>
        <v>166.38205018737253</v>
      </c>
      <c r="I75" s="5">
        <v>14030000</v>
      </c>
      <c r="J75" s="4">
        <f t="shared" si="72"/>
        <v>167.21889823842102</v>
      </c>
      <c r="K75" s="5">
        <v>14030000</v>
      </c>
      <c r="L75" s="4">
        <f t="shared" si="73"/>
        <v>164.8978056721084</v>
      </c>
    </row>
    <row r="76" spans="1:12" s="6" customFormat="1" ht="20.399999999999999" customHeight="1">
      <c r="A76" s="67"/>
      <c r="B76" s="12" t="s">
        <v>42</v>
      </c>
      <c r="C76" s="5">
        <v>0</v>
      </c>
      <c r="D76" s="4">
        <f t="shared" si="69"/>
        <v>0</v>
      </c>
      <c r="E76" s="5">
        <v>30680000</v>
      </c>
      <c r="F76" s="4">
        <f t="shared" si="70"/>
        <v>326.10197595688823</v>
      </c>
      <c r="G76" s="5">
        <v>30680000</v>
      </c>
      <c r="H76" s="4">
        <f t="shared" si="71"/>
        <v>363.83473269768984</v>
      </c>
      <c r="I76" s="5">
        <v>30680000</v>
      </c>
      <c r="J76" s="4">
        <f t="shared" si="72"/>
        <v>365.66470405949798</v>
      </c>
      <c r="K76" s="5">
        <v>30680000</v>
      </c>
      <c r="L76" s="4">
        <f t="shared" si="73"/>
        <v>360.58907184749012</v>
      </c>
    </row>
    <row r="77" spans="1:12" s="6" customFormat="1" ht="20.399999999999999" customHeight="1">
      <c r="A77" s="67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s="6" customFormat="1" ht="25.5" customHeight="1">
      <c r="A78" s="67"/>
      <c r="B78" s="27" t="s">
        <v>12</v>
      </c>
      <c r="C78" s="17">
        <f>SUM(C74:C76)</f>
        <v>0</v>
      </c>
      <c r="D78" s="17">
        <f>+C78/$D$4</f>
        <v>0</v>
      </c>
      <c r="E78" s="17">
        <f>SUM(E74:E76)</f>
        <v>62765000</v>
      </c>
      <c r="F78" s="17">
        <f>+E78/$F$4</f>
        <v>667.13789181662605</v>
      </c>
      <c r="G78" s="17">
        <f>SUM(G74:G76)</f>
        <v>62765000</v>
      </c>
      <c r="H78" s="17">
        <f>+G78/$H$4</f>
        <v>744.33138845405813</v>
      </c>
      <c r="I78" s="17">
        <f>SUM(I74:I76)</f>
        <v>62765000</v>
      </c>
      <c r="J78" s="17">
        <f>+I78/$J$4</f>
        <v>748.07513527687058</v>
      </c>
      <c r="K78" s="17">
        <f>SUM(K74:K76)</f>
        <v>62765000</v>
      </c>
      <c r="L78" s="17">
        <f>+K78/$L$4</f>
        <v>737.69143072059046</v>
      </c>
    </row>
    <row r="79" spans="1:12" s="6" customFormat="1" ht="21" customHeight="1">
      <c r="A79" s="67"/>
      <c r="B79" s="28" t="s">
        <v>11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s="6" customFormat="1" ht="21" customHeight="1">
      <c r="A80" s="67"/>
      <c r="B80" s="12" t="s">
        <v>39</v>
      </c>
      <c r="C80" s="5">
        <v>2135000</v>
      </c>
      <c r="D80" s="4">
        <f t="shared" ref="D80" si="74">+C80/$D$4</f>
        <v>22.960939516475953</v>
      </c>
      <c r="E80" s="5">
        <v>1425000</v>
      </c>
      <c r="F80" s="4">
        <f t="shared" ref="F80:F84" si="75">+E80/$F$4</f>
        <v>15.146522677267461</v>
      </c>
      <c r="G80" s="5">
        <f>1425000-735000</f>
        <v>690000</v>
      </c>
      <c r="H80" s="4">
        <f t="shared" ref="H80:H84" si="76">+G80/$H$4</f>
        <v>8.1827237797068442</v>
      </c>
      <c r="I80" s="5">
        <v>0</v>
      </c>
      <c r="J80" s="4">
        <f t="shared" ref="J80:J84" si="77">+I80/$J$4</f>
        <v>0</v>
      </c>
      <c r="K80" s="5">
        <v>0</v>
      </c>
      <c r="L80" s="4">
        <f t="shared" ref="L80:L84" si="78">+K80/$L$4</f>
        <v>0</v>
      </c>
    </row>
    <row r="81" spans="1:12" s="6" customFormat="1" ht="21" customHeight="1">
      <c r="A81" s="67"/>
      <c r="B81" s="12" t="s">
        <v>21</v>
      </c>
      <c r="C81" s="5">
        <v>4605000</v>
      </c>
      <c r="D81" s="4">
        <f t="shared" ref="D81:D84" si="79">+C81/$D$4</f>
        <v>49.524649402047665</v>
      </c>
      <c r="E81" s="5">
        <v>4025000</v>
      </c>
      <c r="F81" s="4">
        <f t="shared" si="75"/>
        <v>42.78228335158002</v>
      </c>
      <c r="G81" s="5">
        <f>4025000-290000</f>
        <v>3735000</v>
      </c>
      <c r="H81" s="4">
        <f t="shared" si="76"/>
        <v>44.293439590152268</v>
      </c>
      <c r="I81" s="5">
        <v>3440000</v>
      </c>
      <c r="J81" s="4">
        <f t="shared" si="77"/>
        <v>41.00021453600629</v>
      </c>
      <c r="K81" s="5">
        <f>+I81-300000</f>
        <v>3140000</v>
      </c>
      <c r="L81" s="4">
        <f t="shared" si="78"/>
        <v>36.905139687129036</v>
      </c>
    </row>
    <row r="82" spans="1:12" s="6" customFormat="1" ht="21" customHeight="1">
      <c r="A82" s="67"/>
      <c r="B82" s="12" t="s">
        <v>22</v>
      </c>
      <c r="C82" s="5">
        <v>22040000</v>
      </c>
      <c r="D82" s="4">
        <f t="shared" si="79"/>
        <v>237.03002667125526</v>
      </c>
      <c r="E82" s="5">
        <v>22040000</v>
      </c>
      <c r="F82" s="4">
        <f t="shared" si="75"/>
        <v>234.26621740840341</v>
      </c>
      <c r="G82" s="5">
        <f>22040000-135000</f>
        <v>21905000</v>
      </c>
      <c r="H82" s="4">
        <f t="shared" si="76"/>
        <v>259.77183245576583</v>
      </c>
      <c r="I82" s="5">
        <v>21700000</v>
      </c>
      <c r="J82" s="4">
        <f t="shared" si="77"/>
        <v>258.6350742532955</v>
      </c>
      <c r="K82" s="5">
        <f>+I82-1000000</f>
        <v>20700000</v>
      </c>
      <c r="L82" s="4">
        <f t="shared" si="78"/>
        <v>243.29184443425831</v>
      </c>
    </row>
    <row r="83" spans="1:12" s="6" customFormat="1" ht="21" customHeight="1">
      <c r="A83" s="67"/>
      <c r="B83" s="12" t="s">
        <v>23</v>
      </c>
      <c r="C83" s="37">
        <v>17315000</v>
      </c>
      <c r="D83" s="14">
        <f t="shared" si="79"/>
        <v>186.21483265938227</v>
      </c>
      <c r="E83" s="37">
        <v>16675000</v>
      </c>
      <c r="F83" s="14">
        <f t="shared" si="75"/>
        <v>177.24088817083151</v>
      </c>
      <c r="G83" s="37">
        <f>16675000-620000</f>
        <v>16055000</v>
      </c>
      <c r="H83" s="14">
        <f t="shared" si="76"/>
        <v>190.39656562781653</v>
      </c>
      <c r="I83" s="37">
        <v>15410000</v>
      </c>
      <c r="J83" s="14">
        <f t="shared" si="77"/>
        <v>183.66665872088865</v>
      </c>
      <c r="K83" s="37">
        <f>+I83-670000</f>
        <v>14740000</v>
      </c>
      <c r="L83" s="4">
        <f t="shared" si="78"/>
        <v>173.24259840391147</v>
      </c>
    </row>
    <row r="84" spans="1:12" s="6" customFormat="1" ht="21" customHeight="1">
      <c r="A84" s="67"/>
      <c r="B84" s="12" t="s">
        <v>24</v>
      </c>
      <c r="C84" s="37">
        <v>0</v>
      </c>
      <c r="D84" s="14">
        <f t="shared" si="79"/>
        <v>0</v>
      </c>
      <c r="E84" s="37">
        <v>0</v>
      </c>
      <c r="F84" s="14">
        <f t="shared" si="75"/>
        <v>0</v>
      </c>
      <c r="G84" s="37">
        <v>0</v>
      </c>
      <c r="H84" s="14">
        <f t="shared" si="76"/>
        <v>0</v>
      </c>
      <c r="I84" s="37">
        <v>0</v>
      </c>
      <c r="J84" s="14">
        <f t="shared" si="77"/>
        <v>0</v>
      </c>
      <c r="K84" s="37">
        <v>21525000</v>
      </c>
      <c r="L84" s="4">
        <f t="shared" si="78"/>
        <v>252.98825852402948</v>
      </c>
    </row>
    <row r="85" spans="1:12" s="6" customFormat="1" ht="21" customHeight="1">
      <c r="A85" s="67"/>
      <c r="B85" s="34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s="6" customFormat="1" ht="25.5" customHeight="1">
      <c r="A86" s="67"/>
      <c r="B86" s="16" t="s">
        <v>12</v>
      </c>
      <c r="C86" s="17">
        <f>SUM(C80:C84)</f>
        <v>46095000</v>
      </c>
      <c r="D86" s="17">
        <f>+C86/$D$4</f>
        <v>495.73044824916116</v>
      </c>
      <c r="E86" s="17">
        <f>SUM(E80:E84)</f>
        <v>44165000</v>
      </c>
      <c r="F86" s="17">
        <f>+E86/$F$4</f>
        <v>469.43591160808239</v>
      </c>
      <c r="G86" s="17">
        <f>SUM(G80:G84)</f>
        <v>42385000</v>
      </c>
      <c r="H86" s="17">
        <f>+G86/$H$4</f>
        <v>502.6445614534415</v>
      </c>
      <c r="I86" s="17">
        <f>SUM(I80:I84)</f>
        <v>40550000</v>
      </c>
      <c r="J86" s="17">
        <f>+I86/$J$4</f>
        <v>483.30194751019047</v>
      </c>
      <c r="K86" s="17">
        <f>SUM(K80:K84)</f>
        <v>60105000</v>
      </c>
      <c r="L86" s="17">
        <f>+K86/$L$4</f>
        <v>706.42784104932832</v>
      </c>
    </row>
    <row r="87" spans="1:12" s="6" customFormat="1" ht="24.75" customHeight="1">
      <c r="A87" s="67"/>
      <c r="B87" s="31" t="s">
        <v>13</v>
      </c>
      <c r="C87" s="32">
        <f>+C78+C63+C53+C45+C33+C29+C19+C86+C72+C68</f>
        <v>254071457</v>
      </c>
      <c r="D87" s="32">
        <f>+C87/$D$4</f>
        <v>2732.4212445151852</v>
      </c>
      <c r="E87" s="32">
        <f>+E78+E63+E53+E45+E33+E29+E19+E86+E72+E68</f>
        <v>330969211</v>
      </c>
      <c r="F87" s="32">
        <f>+E87/$F$4</f>
        <v>3517.9176560623291</v>
      </c>
      <c r="G87" s="32">
        <f>+G78+G63+G53+G45+G33+G29+G19+G86+G72+G68</f>
        <v>305462684</v>
      </c>
      <c r="H87" s="32">
        <f>+G87/$H$4</f>
        <v>3622.4880698259094</v>
      </c>
      <c r="I87" s="32">
        <f>+I78+I63+I53+I45+I33+I29+I19+I86+I72+I68</f>
        <v>309222331</v>
      </c>
      <c r="J87" s="32">
        <f>+I87/$J$4</f>
        <v>3685.5179971871944</v>
      </c>
      <c r="K87" s="32">
        <f>+K78+K63+K53+K45+K33+K29+K19+K86+K72+K68</f>
        <v>365481207</v>
      </c>
      <c r="L87" s="32">
        <f>+K87/$L$4</f>
        <v>4295.584394062269</v>
      </c>
    </row>
    <row r="88" spans="1:12" ht="19.5" customHeight="1"/>
    <row r="89" spans="1:12" ht="15.6">
      <c r="A89" s="33"/>
    </row>
  </sheetData>
  <mergeCells count="10">
    <mergeCell ref="C1:L1"/>
    <mergeCell ref="C2:L2"/>
    <mergeCell ref="A7:A33"/>
    <mergeCell ref="A35:A53"/>
    <mergeCell ref="A55:A87"/>
    <mergeCell ref="K3:L3"/>
    <mergeCell ref="G3:H3"/>
    <mergeCell ref="I3:J3"/>
    <mergeCell ref="E3:F3"/>
    <mergeCell ref="C3:D3"/>
  </mergeCells>
  <phoneticPr fontId="5" type="noConversion"/>
  <pageMargins left="0.7" right="0.7" top="0.7" bottom="0.7" header="0.3" footer="0.3"/>
  <pageSetup scale="64" fitToHeight="0" orientation="landscape" r:id="rId1"/>
  <headerFooter>
    <oddFooter>Page &amp;P&amp;R</oddFooter>
  </headerFooter>
  <rowBreaks count="2" manualBreakCount="2">
    <brk id="33" max="11" man="1"/>
    <brk id="53" max="1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F0F18-E2DC-498B-8D46-FBD241EEA4B0}">
  <dimension ref="A1"/>
  <sheetViews>
    <sheetView workbookViewId="0">
      <selection activeCell="L8" sqref="L8"/>
    </sheetView>
  </sheetViews>
  <sheetFormatPr defaultRowHeight="14.4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0D07-01C9-4AFA-923C-85F841FA26D4}">
  <dimension ref="A1:K14"/>
  <sheetViews>
    <sheetView workbookViewId="0">
      <selection activeCell="E35" sqref="E35"/>
    </sheetView>
  </sheetViews>
  <sheetFormatPr defaultRowHeight="14.4"/>
  <cols>
    <col min="1" max="1" width="4.88671875" bestFit="1" customWidth="1"/>
    <col min="2" max="2" width="13.88671875" bestFit="1" customWidth="1"/>
    <col min="3" max="3" width="17.44140625" bestFit="1" customWidth="1"/>
    <col min="4" max="4" width="14.5546875" bestFit="1" customWidth="1"/>
    <col min="5" max="5" width="13.6640625" bestFit="1" customWidth="1"/>
    <col min="8" max="8" width="12.6640625" bestFit="1" customWidth="1"/>
    <col min="9" max="9" width="17.44140625" bestFit="1" customWidth="1"/>
    <col min="10" max="10" width="14.5546875" bestFit="1" customWidth="1"/>
    <col min="11" max="11" width="9.5546875" bestFit="1" customWidth="1"/>
  </cols>
  <sheetData>
    <row r="1" spans="1:11">
      <c r="A1" s="35" t="s">
        <v>14</v>
      </c>
      <c r="B1" s="35" t="s">
        <v>15</v>
      </c>
      <c r="C1" s="35" t="s">
        <v>51</v>
      </c>
      <c r="D1" s="35" t="s">
        <v>50</v>
      </c>
      <c r="E1" s="35" t="s">
        <v>52</v>
      </c>
      <c r="G1" s="35" t="s">
        <v>14</v>
      </c>
      <c r="H1" s="35" t="s">
        <v>15</v>
      </c>
      <c r="I1" s="35" t="s">
        <v>51</v>
      </c>
      <c r="J1" s="35" t="s">
        <v>50</v>
      </c>
      <c r="K1" s="35"/>
    </row>
    <row r="2" spans="1:11">
      <c r="A2">
        <v>2020</v>
      </c>
      <c r="B2" s="10">
        <f>+'Debt by Fiscal Year'!C19+'Debt by Fiscal Year'!C29+'Debt by Fiscal Year'!C33</f>
        <v>95032150</v>
      </c>
      <c r="C2" s="10">
        <f>+'Debt by Fiscal Year'!C45+'Debt by Fiscal Year'!C53</f>
        <v>75466852</v>
      </c>
      <c r="D2" s="10">
        <f>+'Debt by Fiscal Year'!C63+'Debt by Fiscal Year'!C68+'Debt by Fiscal Year'!C72+'Debt by Fiscal Year'!C86</f>
        <v>83572455</v>
      </c>
      <c r="E2" s="10">
        <f>SUM(B2:D2)</f>
        <v>254071457</v>
      </c>
      <c r="G2">
        <v>2020</v>
      </c>
      <c r="H2" s="36">
        <f>+B2/1000000</f>
        <v>95.032150000000001</v>
      </c>
      <c r="I2" s="36">
        <f>+C2/1000000</f>
        <v>75.466852000000003</v>
      </c>
      <c r="J2" s="36">
        <f>+D2/1000000</f>
        <v>83.572455000000005</v>
      </c>
    </row>
    <row r="3" spans="1:11">
      <c r="A3">
        <v>2021</v>
      </c>
      <c r="B3" s="10">
        <f>+'Debt by Fiscal Year'!E19+'Debt by Fiscal Year'!E29+'Debt by Fiscal Year'!E33</f>
        <v>114935654</v>
      </c>
      <c r="C3" s="10">
        <f>+'Debt by Fiscal Year'!E45+'Debt by Fiscal Year'!E53</f>
        <v>75762931</v>
      </c>
      <c r="D3" s="10">
        <f>+'Debt by Fiscal Year'!E63+'Debt by Fiscal Year'!E68+'Debt by Fiscal Year'!E72+'Debt by Fiscal Year'!E78+'Debt by Fiscal Year'!E86</f>
        <v>140270626</v>
      </c>
      <c r="E3" s="10">
        <f t="shared" ref="E3:E6" si="0">SUM(B3:D3)</f>
        <v>330969211</v>
      </c>
      <c r="G3">
        <v>2021</v>
      </c>
      <c r="H3" s="36">
        <f t="shared" ref="H3:H6" si="1">+B3/1000000</f>
        <v>114.935654</v>
      </c>
      <c r="I3" s="36">
        <f t="shared" ref="I3:I6" si="2">+C3/1000000</f>
        <v>75.762930999999995</v>
      </c>
      <c r="J3" s="36">
        <f t="shared" ref="J3:J6" si="3">+D3/1000000</f>
        <v>140.27062599999999</v>
      </c>
    </row>
    <row r="4" spans="1:11">
      <c r="A4">
        <v>2022</v>
      </c>
      <c r="B4" s="10">
        <f>+'Debt by Fiscal Year'!G19+'Debt by Fiscal Year'!G29+'Debt by Fiscal Year'!G33</f>
        <v>101156503</v>
      </c>
      <c r="C4" s="10">
        <f>+'Debt by Fiscal Year'!G45+'Debt by Fiscal Year'!G53</f>
        <v>68935331</v>
      </c>
      <c r="D4" s="10">
        <f>+'Debt by Fiscal Year'!G63+'Debt by Fiscal Year'!G68+'Debt by Fiscal Year'!G72+'Debt by Fiscal Year'!G78+'Debt by Fiscal Year'!G86</f>
        <v>135370850</v>
      </c>
      <c r="E4" s="10">
        <f t="shared" si="0"/>
        <v>305462684</v>
      </c>
      <c r="G4">
        <v>2022</v>
      </c>
      <c r="H4" s="36">
        <f t="shared" si="1"/>
        <v>101.156503</v>
      </c>
      <c r="I4" s="36">
        <f t="shared" si="2"/>
        <v>68.935331000000005</v>
      </c>
      <c r="J4" s="36">
        <f t="shared" si="3"/>
        <v>135.37084999999999</v>
      </c>
    </row>
    <row r="5" spans="1:11">
      <c r="A5">
        <v>2023</v>
      </c>
      <c r="B5" s="10">
        <f>+'Debt by Fiscal Year'!I19+'Debt by Fiscal Year'!I29+'Debt by Fiscal Year'!I33</f>
        <v>115546131</v>
      </c>
      <c r="C5" s="10">
        <f>+'Debt by Fiscal Year'!I45+'Debt by Fiscal Year'!I53</f>
        <v>62762236</v>
      </c>
      <c r="D5" s="10">
        <f>+'Debt by Fiscal Year'!I63+'Debt by Fiscal Year'!I68+'Debt by Fiscal Year'!I72+'Debt by Fiscal Year'!I78+'Debt by Fiscal Year'!I86</f>
        <v>130913964</v>
      </c>
      <c r="E5" s="10">
        <f t="shared" si="0"/>
        <v>309222331</v>
      </c>
      <c r="G5">
        <v>2023</v>
      </c>
      <c r="H5" s="36">
        <f t="shared" si="1"/>
        <v>115.546131</v>
      </c>
      <c r="I5" s="36">
        <f t="shared" si="2"/>
        <v>62.762236000000001</v>
      </c>
      <c r="J5" s="36">
        <f t="shared" si="3"/>
        <v>130.91396399999999</v>
      </c>
    </row>
    <row r="6" spans="1:11">
      <c r="A6">
        <v>2024</v>
      </c>
      <c r="B6" s="10">
        <f>+'Debt by Fiscal Year'!K19+'Debt by Fiscal Year'!K29+'Debt by Fiscal Year'!K33</f>
        <v>125306536</v>
      </c>
      <c r="C6" s="10">
        <f>+'Debt by Fiscal Year'!K45+'Debt by Fiscal Year'!K53</f>
        <v>92400730</v>
      </c>
      <c r="D6" s="10">
        <f>+'Debt by Fiscal Year'!K63+'Debt by Fiscal Year'!K68+'Debt by Fiscal Year'!K72+'Debt by Fiscal Year'!K78+'Debt by Fiscal Year'!K86</f>
        <v>147773941</v>
      </c>
      <c r="E6" s="10">
        <f t="shared" si="0"/>
        <v>365481207</v>
      </c>
      <c r="G6">
        <v>2024</v>
      </c>
      <c r="H6" s="36">
        <f t="shared" si="1"/>
        <v>125.30653599999999</v>
      </c>
      <c r="I6" s="36">
        <f t="shared" si="2"/>
        <v>92.400729999999996</v>
      </c>
      <c r="J6" s="36">
        <f t="shared" si="3"/>
        <v>147.77394100000001</v>
      </c>
    </row>
    <row r="9" spans="1:11">
      <c r="A9" s="35" t="s">
        <v>14</v>
      </c>
      <c r="B9" s="35" t="s">
        <v>15</v>
      </c>
      <c r="C9" s="35" t="s">
        <v>51</v>
      </c>
      <c r="D9" s="35" t="s">
        <v>50</v>
      </c>
      <c r="E9" s="35" t="s">
        <v>53</v>
      </c>
      <c r="G9" s="35" t="s">
        <v>14</v>
      </c>
      <c r="H9" s="35" t="s">
        <v>15</v>
      </c>
      <c r="I9" s="35" t="s">
        <v>51</v>
      </c>
      <c r="J9" s="35" t="s">
        <v>50</v>
      </c>
    </row>
    <row r="10" spans="1:11">
      <c r="A10">
        <v>2020</v>
      </c>
      <c r="B10" s="10">
        <f>+'Debt by Fiscal Year'!D19+'Debt by Fiscal Year'!D29+'Debt by Fiscal Year'!D33</f>
        <v>1022.0269078551148</v>
      </c>
      <c r="C10" s="10">
        <f>+'Debt by Fiscal Year'!D45+'Debt by Fiscal Year'!D53</f>
        <v>811.61115890905967</v>
      </c>
      <c r="D10" s="10">
        <f>+'Debt by Fiscal Year'!D63+'Debt by Fiscal Year'!D68+'Debt by Fiscal Year'!D72+'Debt by Fiscal Year'!D78+'Debt by Fiscal Year'!D86</f>
        <v>898.78317775101095</v>
      </c>
      <c r="E10" s="10">
        <f>SUM(B10:D10)</f>
        <v>2732.4212445151852</v>
      </c>
      <c r="G10">
        <v>2020</v>
      </c>
      <c r="H10" s="10">
        <f>+B10</f>
        <v>1022.0269078551148</v>
      </c>
      <c r="I10" s="10">
        <f t="shared" ref="I10:J14" si="4">+C10</f>
        <v>811.61115890905967</v>
      </c>
      <c r="J10" s="10">
        <f t="shared" si="4"/>
        <v>898.78317775101095</v>
      </c>
    </row>
    <row r="11" spans="1:11">
      <c r="A11">
        <v>2021</v>
      </c>
      <c r="B11" s="10">
        <f>+'Debt by Fiscal Year'!F19+'Debt by Fiscal Year'!F29+'Debt by Fiscal Year'!F33</f>
        <v>1221.667010342152</v>
      </c>
      <c r="C11" s="10">
        <f>+'Debt by Fiscal Year'!F45+'Debt by Fiscal Year'!F53</f>
        <v>805.29470350017539</v>
      </c>
      <c r="D11" s="10">
        <f>+'Debt by Fiscal Year'!F63+'Debt by Fiscal Year'!F68+'Debt by Fiscal Year'!F72+'Debt by Fiscal Year'!F78+'Debt by Fiscal Year'!F86</f>
        <v>1490.9559422200018</v>
      </c>
      <c r="E11" s="10">
        <f t="shared" ref="E11:E14" si="5">SUM(B11:D11)</f>
        <v>3517.9176560623291</v>
      </c>
      <c r="G11">
        <v>2021</v>
      </c>
      <c r="H11" s="10">
        <f>+B11</f>
        <v>1221.667010342152</v>
      </c>
      <c r="I11" s="10">
        <f t="shared" si="4"/>
        <v>805.29470350017539</v>
      </c>
      <c r="J11" s="10">
        <f t="shared" si="4"/>
        <v>1490.9559422200018</v>
      </c>
    </row>
    <row r="12" spans="1:11">
      <c r="A12">
        <v>2022</v>
      </c>
      <c r="B12" s="10">
        <f>+'Debt by Fiscal Year'!H19+'Debt by Fiscal Year'!H29+'Debt by Fiscal Year'!H33</f>
        <v>1199.6169892320099</v>
      </c>
      <c r="C12" s="10">
        <f>+'Debt by Fiscal Year'!H45+'Debt by Fiscal Year'!H53</f>
        <v>817.50546700820644</v>
      </c>
      <c r="D12" s="10">
        <f>+'Debt by Fiscal Year'!H63+'Debt by Fiscal Year'!H68+'Debt by Fiscal Year'!H72+'Debt by Fiscal Year'!H78+'Debt by Fiscal Year'!H86</f>
        <v>1605.3656135856932</v>
      </c>
      <c r="E12" s="10">
        <f t="shared" si="5"/>
        <v>3622.4880698259094</v>
      </c>
      <c r="G12">
        <v>2022</v>
      </c>
      <c r="H12" s="10">
        <f>+B12</f>
        <v>1199.6169892320099</v>
      </c>
      <c r="I12" s="10">
        <f t="shared" si="4"/>
        <v>817.50546700820644</v>
      </c>
      <c r="J12" s="10">
        <f t="shared" si="4"/>
        <v>1605.3656135856932</v>
      </c>
    </row>
    <row r="13" spans="1:11">
      <c r="A13">
        <v>2023</v>
      </c>
      <c r="B13" s="10">
        <f>+'Debt by Fiscal Year'!J19+'Debt by Fiscal Year'!J29+'Debt by Fiscal Year'!J33</f>
        <v>1377.1558604085719</v>
      </c>
      <c r="C13" s="10">
        <f>+'Debt by Fiscal Year'!J45+'Debt by Fiscal Year'!J53</f>
        <v>748.04219208123766</v>
      </c>
      <c r="D13" s="10">
        <f>+'Debt by Fiscal Year'!J63+'Debt by Fiscal Year'!J68+'Debt by Fiscal Year'!J72+'Debt by Fiscal Year'!J78+'Debt by Fiscal Year'!J86</f>
        <v>1560.3199446973852</v>
      </c>
      <c r="E13" s="10">
        <f t="shared" si="5"/>
        <v>3685.5179971871949</v>
      </c>
      <c r="G13">
        <v>2023</v>
      </c>
      <c r="H13" s="10">
        <f>+B13</f>
        <v>1377.1558604085719</v>
      </c>
      <c r="I13" s="10">
        <f t="shared" si="4"/>
        <v>748.04219208123766</v>
      </c>
      <c r="J13" s="10">
        <f t="shared" si="4"/>
        <v>1560.3199446973852</v>
      </c>
    </row>
    <row r="14" spans="1:11">
      <c r="A14">
        <v>2024</v>
      </c>
      <c r="B14" s="10">
        <f>+'Debt by Fiscal Year'!L19+'Debt by Fiscal Year'!L29+'Debt by Fiscal Year'!L33</f>
        <v>1472.7564378312941</v>
      </c>
      <c r="C14" s="10">
        <f>+'Debt by Fiscal Year'!L45+'Debt by Fiscal Year'!L53</f>
        <v>1086.0069579116862</v>
      </c>
      <c r="D14" s="10">
        <f>+'Debt by Fiscal Year'!L63+'Debt by Fiscal Year'!L68+'Debt by Fiscal Year'!L72+'Debt by Fiscal Year'!L78+'Debt by Fiscal Year'!L86</f>
        <v>1736.8209983192883</v>
      </c>
      <c r="E14" s="10">
        <f t="shared" si="5"/>
        <v>4295.584394062269</v>
      </c>
      <c r="G14">
        <v>2024</v>
      </c>
      <c r="H14" s="10">
        <f>+B14</f>
        <v>1472.7564378312941</v>
      </c>
      <c r="I14" s="10">
        <f t="shared" si="4"/>
        <v>1086.0069579116862</v>
      </c>
      <c r="J14" s="10">
        <f t="shared" si="4"/>
        <v>1736.8209983192883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71EA38647A74CAFED2C18BB7FB321" ma:contentTypeVersion="15" ma:contentTypeDescription="Create a new document." ma:contentTypeScope="" ma:versionID="02fc659523ca2bac3a523e9c060277c1">
  <xsd:schema xmlns:xsd="http://www.w3.org/2001/XMLSchema" xmlns:xs="http://www.w3.org/2001/XMLSchema" xmlns:p="http://schemas.microsoft.com/office/2006/metadata/properties" xmlns:ns2="b826f988-a2f0-45e7-b7fa-7351d0e7a433" xmlns:ns3="db8a7ca7-5dcf-40fd-8034-8b91af5a9ea6" targetNamespace="http://schemas.microsoft.com/office/2006/metadata/properties" ma:root="true" ma:fieldsID="f879778f87dc0a9d86cdbbff94e72b24" ns2:_="" ns3:_="">
    <xsd:import namespace="b826f988-a2f0-45e7-b7fa-7351d0e7a433"/>
    <xsd:import namespace="db8a7ca7-5dcf-40fd-8034-8b91af5a9e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f988-a2f0-45e7-b7fa-7351d0e7a4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f9733e6-55fb-4cec-ac8c-567bd1a085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a7ca7-5dcf-40fd-8034-8b91af5a9e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14f1be6-0393-4b5d-adcb-d3cf38649b27}" ma:internalName="TaxCatchAll" ma:showField="CatchAllData" ma:web="db8a7ca7-5dcf-40fd-8034-8b91af5a9e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f988-a2f0-45e7-b7fa-7351d0e7a433">
      <Terms xmlns="http://schemas.microsoft.com/office/infopath/2007/PartnerControls"/>
    </lcf76f155ced4ddcb4097134ff3c332f>
    <TaxCatchAll xmlns="db8a7ca7-5dcf-40fd-8034-8b91af5a9e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35A2E-486C-49CF-8843-06D1FEAB0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6f988-a2f0-45e7-b7fa-7351d0e7a433"/>
    <ds:schemaRef ds:uri="db8a7ca7-5dcf-40fd-8034-8b91af5a9e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2F5981-9E3D-4C31-A482-D769F271B35F}">
  <ds:schemaRefs>
    <ds:schemaRef ds:uri="db8a7ca7-5dcf-40fd-8034-8b91af5a9ea6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b826f988-a2f0-45e7-b7fa-7351d0e7a43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E965B1-2444-4E47-93DF-6DE5921658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Outstanding Debt Summary</vt:lpstr>
      <vt:lpstr>Debt by Fiscal Year</vt:lpstr>
      <vt:lpstr>Chart</vt:lpstr>
      <vt:lpstr>Data</vt:lpstr>
      <vt:lpstr>'Debt by Fiscal Year'!Print_Area</vt:lpstr>
      <vt:lpstr>'Debt by Fiscal Year'!Print_Titles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Maya Scheibal</dc:creator>
  <cp:keywords/>
  <dc:description/>
  <cp:lastModifiedBy>Teresa.McKenzie</cp:lastModifiedBy>
  <cp:revision/>
  <cp:lastPrinted>2025-10-17T15:41:40Z</cp:lastPrinted>
  <dcterms:created xsi:type="dcterms:W3CDTF">2017-02-07T13:51:57Z</dcterms:created>
  <dcterms:modified xsi:type="dcterms:W3CDTF">2025-10-28T15:57:02Z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0x010100D6E71EA38647A74CAFED2C18BB7FB321</vt:lpwstr>
  </property>
  <property fmtid="{D5CDD505-2E9C-101B-9397-08002B2CF9AE}" pid="3" name="MediaServiceImageTags">
    <vt:lpwstr/>
  </property>
</Properties>
</file>